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PLANEACION\PLANES\2016\Plan Anual de Adquisiciones 2016\Versión 6.0\"/>
    </mc:Choice>
  </mc:AlternateContent>
  <bookViews>
    <workbookView xWindow="0" yWindow="0" windowWidth="28800" windowHeight="12435" activeTab="1"/>
  </bookViews>
  <sheets>
    <sheet name="CUADRO PAA 2016" sheetId="4" r:id="rId1"/>
    <sheet name="PLAN DE ADQUISICIONES 2016" sheetId="5" r:id="rId2"/>
    <sheet name="ADICIONES A CONTRATOS" sheetId="7" r:id="rId3"/>
    <sheet name="INVERSIÓN " sheetId="8" r:id="rId4"/>
  </sheets>
  <definedNames>
    <definedName name="_xlnm._FilterDatabase" localSheetId="2" hidden="1">'ADICIONES A CONTRATOS'!$A$5:$BO$17</definedName>
    <definedName name="_xlnm._FilterDatabase" localSheetId="3" hidden="1">'INVERSIÓN '!$A$4:$J$82</definedName>
    <definedName name="_xlnm._FilterDatabase" localSheetId="1" hidden="1">'PLAN DE ADQUISICIONES 2016'!$A$6:$IF$141</definedName>
    <definedName name="_xlnm.Print_Area" localSheetId="3">'INVERSIÓN '!$A$1:$G$82</definedName>
    <definedName name="_xlnm.Print_Area" localSheetId="1">'PLAN DE ADQUISICIONES 2016'!$A$1:$IF$141</definedName>
    <definedName name="_xlnm.Print_Titles" localSheetId="3">'INVERSIÓN '!$4:$4</definedName>
    <definedName name="_xlnm.Print_Titles" localSheetId="1">'PLAN DE ADQUISICIONES 2016'!$C:$Q,'PLAN DE ADQUISICIONES 2016'!$6:$6</definedName>
  </definedNames>
  <calcPr calcId="152511"/>
</workbook>
</file>

<file path=xl/calcChain.xml><?xml version="1.0" encoding="utf-8"?>
<calcChain xmlns="http://schemas.openxmlformats.org/spreadsheetml/2006/main">
  <c r="M36" i="7" l="1"/>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E24" i="4"/>
  <c r="I71" i="5"/>
  <c r="D24" i="4" s="1"/>
  <c r="D26" i="4" l="1"/>
  <c r="F35" i="4"/>
  <c r="I35" i="4"/>
  <c r="F43" i="4"/>
  <c r="J43" i="4"/>
  <c r="J42" i="4"/>
  <c r="E42" i="4"/>
  <c r="G42" i="4" s="1"/>
  <c r="D42" i="4"/>
  <c r="H42" i="4" s="1"/>
  <c r="J40" i="4"/>
  <c r="H40" i="4"/>
  <c r="G40" i="4"/>
  <c r="E37" i="4"/>
  <c r="E35" i="4" s="1"/>
  <c r="D37" i="4"/>
  <c r="H37" i="4" s="1"/>
  <c r="H35" i="4" s="1"/>
  <c r="G38" i="4"/>
  <c r="H38" i="4"/>
  <c r="J38" i="4"/>
  <c r="J37" i="4"/>
  <c r="J36" i="4"/>
  <c r="H36" i="4"/>
  <c r="G36" i="4"/>
  <c r="J34" i="4"/>
  <c r="E34" i="4"/>
  <c r="G34" i="4" s="1"/>
  <c r="D34" i="4"/>
  <c r="H34" i="4" s="1"/>
  <c r="J35" i="4" l="1"/>
  <c r="G37" i="4"/>
  <c r="G35" i="4" s="1"/>
  <c r="D35" i="4"/>
  <c r="E32" i="4"/>
  <c r="G32" i="4" s="1"/>
  <c r="G31" i="4"/>
  <c r="H31" i="4"/>
  <c r="J31" i="4"/>
  <c r="J32" i="4"/>
  <c r="G33" i="4"/>
  <c r="H33" i="4"/>
  <c r="J33" i="4"/>
  <c r="J30" i="4"/>
  <c r="E30" i="4"/>
  <c r="G30" i="4" s="1"/>
  <c r="D30" i="4"/>
  <c r="H30" i="4" s="1"/>
  <c r="J28" i="4"/>
  <c r="J27" i="4" s="1"/>
  <c r="E28" i="4"/>
  <c r="G28" i="4" s="1"/>
  <c r="D28" i="4"/>
  <c r="H28" i="4" s="1"/>
  <c r="J26" i="4"/>
  <c r="F26" i="4"/>
  <c r="E26" i="4"/>
  <c r="G24" i="4"/>
  <c r="H24" i="4"/>
  <c r="E23" i="4"/>
  <c r="G23" i="4" s="1"/>
  <c r="D23" i="4"/>
  <c r="H23" i="4" s="1"/>
  <c r="J22" i="4"/>
  <c r="J23" i="4"/>
  <c r="J24" i="4"/>
  <c r="E22" i="4"/>
  <c r="G22" i="4" s="1"/>
  <c r="D22" i="4"/>
  <c r="H22" i="4" s="1"/>
  <c r="J21" i="4"/>
  <c r="E21" i="4"/>
  <c r="G21" i="4" s="1"/>
  <c r="D21" i="4"/>
  <c r="H21" i="4" s="1"/>
  <c r="J19" i="4"/>
  <c r="E19" i="4"/>
  <c r="D19" i="4"/>
  <c r="E18" i="4"/>
  <c r="D18" i="4"/>
  <c r="E17" i="4"/>
  <c r="D17" i="4"/>
  <c r="G26" i="4" l="1"/>
  <c r="H26" i="4"/>
  <c r="E16" i="4"/>
  <c r="G16" i="4" s="1"/>
  <c r="J16" i="4"/>
  <c r="J17" i="4"/>
  <c r="J18" i="4"/>
  <c r="J15" i="4"/>
  <c r="J11" i="4"/>
  <c r="J12" i="4"/>
  <c r="E15" i="4"/>
  <c r="F11" i="4" l="1"/>
  <c r="E11" i="4"/>
  <c r="G11" i="4" l="1"/>
  <c r="E53" i="8" l="1"/>
  <c r="E54" i="8"/>
  <c r="E55" i="8"/>
  <c r="E56" i="8"/>
  <c r="E57" i="8"/>
  <c r="E58" i="8"/>
  <c r="E59" i="8"/>
  <c r="E60" i="8"/>
  <c r="E61" i="8"/>
  <c r="E62" i="8"/>
  <c r="E63" i="8"/>
  <c r="E66" i="8"/>
  <c r="E67" i="8"/>
  <c r="E52" i="8"/>
  <c r="E64" i="8" s="1"/>
  <c r="D64" i="8"/>
  <c r="E36" i="8"/>
  <c r="E37" i="8"/>
  <c r="E38" i="8"/>
  <c r="E39" i="8"/>
  <c r="E40" i="8"/>
  <c r="E42" i="8"/>
  <c r="E43" i="8"/>
  <c r="E44" i="8"/>
  <c r="E45" i="8"/>
  <c r="E46" i="8"/>
  <c r="E35" i="8"/>
  <c r="E47" i="8" s="1"/>
  <c r="D47" i="8"/>
  <c r="D41" i="8"/>
  <c r="C41" i="8"/>
  <c r="E41" i="8" s="1"/>
  <c r="E27" i="8"/>
  <c r="E28" i="8"/>
  <c r="E29" i="8"/>
  <c r="E30" i="8"/>
  <c r="E31" i="8"/>
  <c r="E32" i="8"/>
  <c r="E26" i="8"/>
  <c r="D33" i="8"/>
  <c r="G33" i="8" s="1"/>
  <c r="C33" i="8"/>
  <c r="E6" i="8"/>
  <c r="E9" i="8"/>
  <c r="E12" i="8"/>
  <c r="E13" i="8"/>
  <c r="E14" i="8"/>
  <c r="E15" i="8"/>
  <c r="E17" i="8"/>
  <c r="E18" i="8"/>
  <c r="E19" i="8"/>
  <c r="E20" i="8"/>
  <c r="E23" i="8"/>
  <c r="D24" i="8"/>
  <c r="C22" i="8"/>
  <c r="E22" i="8" s="1"/>
  <c r="C21" i="8"/>
  <c r="E21" i="8" s="1"/>
  <c r="C16" i="8"/>
  <c r="E16" i="8" s="1"/>
  <c r="C11" i="8"/>
  <c r="E11" i="8" s="1"/>
  <c r="C10" i="8"/>
  <c r="E10" i="8" s="1"/>
  <c r="C8" i="8"/>
  <c r="E8" i="8" s="1"/>
  <c r="C7" i="8"/>
  <c r="E7" i="8" s="1"/>
  <c r="C47" i="8" l="1"/>
  <c r="E33" i="8"/>
  <c r="C24" i="8"/>
  <c r="D78" i="8" l="1"/>
  <c r="C78" i="8"/>
  <c r="L75" i="5"/>
  <c r="M75" i="5" s="1"/>
  <c r="E77" i="8"/>
  <c r="D80" i="8" l="1"/>
  <c r="C80" i="8"/>
  <c r="D75" i="8"/>
  <c r="C75" i="8"/>
  <c r="D68" i="8"/>
  <c r="C65" i="8"/>
  <c r="E65" i="8" s="1"/>
  <c r="C64" i="8"/>
  <c r="L109" i="5"/>
  <c r="M109" i="5" s="1"/>
  <c r="O109" i="5" s="1"/>
  <c r="E49" i="8"/>
  <c r="D50" i="8"/>
  <c r="C50" i="8"/>
  <c r="H17" i="7"/>
  <c r="L64" i="5"/>
  <c r="M64" i="5" s="1"/>
  <c r="O64" i="5" s="1"/>
  <c r="L63" i="5"/>
  <c r="M63" i="5" s="1"/>
  <c r="O63" i="5" s="1"/>
  <c r="L62" i="5"/>
  <c r="M62" i="5" s="1"/>
  <c r="O62" i="5" s="1"/>
  <c r="L61" i="5"/>
  <c r="M61" i="5" s="1"/>
  <c r="O61" i="5" s="1"/>
  <c r="I63" i="5"/>
  <c r="I62" i="5"/>
  <c r="C81" i="8" l="1"/>
  <c r="D69" i="8"/>
  <c r="C68" i="8"/>
  <c r="C69" i="8" s="1"/>
  <c r="C82" i="8" s="1"/>
  <c r="I135" i="5"/>
  <c r="I57" i="5" l="1"/>
  <c r="O134" i="5" l="1"/>
  <c r="O66" i="5" l="1"/>
  <c r="I66" i="5"/>
  <c r="O75" i="5"/>
  <c r="O17" i="5" l="1"/>
  <c r="L113" i="5" l="1"/>
  <c r="M113" i="5" s="1"/>
  <c r="O113" i="5" s="1"/>
  <c r="L112" i="5"/>
  <c r="M112" i="5" s="1"/>
  <c r="O112" i="5" s="1"/>
  <c r="L111" i="5"/>
  <c r="M111" i="5" s="1"/>
  <c r="O111" i="5" s="1"/>
  <c r="O40" i="5" l="1"/>
  <c r="O39" i="5"/>
  <c r="O28" i="5"/>
  <c r="O27" i="5"/>
  <c r="O24" i="5"/>
  <c r="O22" i="5"/>
  <c r="M21" i="5"/>
  <c r="O21" i="5" s="1"/>
  <c r="I15" i="5"/>
  <c r="D32" i="4" s="1"/>
  <c r="H32" i="4" s="1"/>
  <c r="M16" i="5"/>
  <c r="O16" i="5" s="1"/>
  <c r="O82" i="5" l="1"/>
  <c r="I9" i="5" l="1"/>
  <c r="D15" i="4" l="1"/>
  <c r="N106" i="5"/>
  <c r="O106" i="5" s="1"/>
  <c r="G80" i="8" l="1"/>
  <c r="E79" i="8"/>
  <c r="E76" i="8"/>
  <c r="G75" i="8"/>
  <c r="E72" i="8"/>
  <c r="G50" i="8"/>
  <c r="E5" i="8"/>
  <c r="G69" i="8" l="1"/>
  <c r="G78" i="8"/>
  <c r="G64" i="8"/>
  <c r="E50" i="8"/>
  <c r="E75" i="8"/>
  <c r="E80" i="8"/>
  <c r="O135" i="5"/>
  <c r="E78" i="8" l="1"/>
  <c r="E69" i="8"/>
  <c r="D81" i="8"/>
  <c r="G24" i="8"/>
  <c r="E24" i="8"/>
  <c r="G47" i="8"/>
  <c r="I48" i="5"/>
  <c r="M50" i="5"/>
  <c r="O50" i="5" s="1"/>
  <c r="I49" i="5"/>
  <c r="E81" i="8" l="1"/>
  <c r="D82" i="8"/>
  <c r="G81" i="8"/>
  <c r="E68" i="8"/>
  <c r="G68" i="8"/>
  <c r="M52" i="5"/>
  <c r="O52" i="5" s="1"/>
  <c r="I52" i="5"/>
  <c r="M51" i="5"/>
  <c r="O51" i="5" s="1"/>
  <c r="I51" i="5"/>
  <c r="E82" i="8" l="1"/>
  <c r="G82" i="8"/>
  <c r="G19" i="4"/>
  <c r="G18" i="4"/>
  <c r="G17" i="4"/>
  <c r="J116" i="5" l="1"/>
  <c r="E43" i="4" l="1"/>
  <c r="G43" i="4" s="1"/>
  <c r="J141" i="5"/>
  <c r="I132" i="5"/>
  <c r="M14" i="5" l="1"/>
  <c r="O14" i="5" s="1"/>
  <c r="M9" i="5" l="1"/>
  <c r="M107" i="5" l="1"/>
  <c r="O107" i="5" s="1"/>
  <c r="L20" i="5" l="1"/>
  <c r="M20" i="5" s="1"/>
  <c r="O20" i="5" s="1"/>
  <c r="L19" i="5"/>
  <c r="M19" i="5" s="1"/>
  <c r="O19" i="5" s="1"/>
  <c r="L18" i="5"/>
  <c r="M18" i="5" s="1"/>
  <c r="O18" i="5" s="1"/>
  <c r="L43" i="5" l="1"/>
  <c r="M43" i="5" s="1"/>
  <c r="L44" i="5"/>
  <c r="M44" i="5" s="1"/>
  <c r="O44" i="5" s="1"/>
  <c r="L69" i="5"/>
  <c r="M69" i="5" s="1"/>
  <c r="O69" i="5" s="1"/>
  <c r="L68" i="5"/>
  <c r="M68" i="5" s="1"/>
  <c r="O68" i="5" s="1"/>
  <c r="L67" i="5"/>
  <c r="M67" i="5" s="1"/>
  <c r="O67" i="5" s="1"/>
  <c r="O43" i="5" l="1"/>
  <c r="M94" i="5"/>
  <c r="O94" i="5" s="1"/>
  <c r="M93" i="5"/>
  <c r="O93" i="5" s="1"/>
  <c r="M42" i="5" l="1"/>
  <c r="O42" i="5" s="1"/>
  <c r="M101" i="5" l="1"/>
  <c r="O101" i="5" s="1"/>
  <c r="L78" i="5" l="1"/>
  <c r="M78" i="5" s="1"/>
  <c r="O78" i="5" s="1"/>
  <c r="L77" i="5"/>
  <c r="M77" i="5" s="1"/>
  <c r="O77" i="5" s="1"/>
  <c r="O23" i="5"/>
  <c r="H19" i="4" l="1"/>
  <c r="L132" i="5" l="1"/>
  <c r="M132" i="5" s="1"/>
  <c r="O132" i="5" s="1"/>
  <c r="M131" i="5" l="1"/>
  <c r="O131" i="5" s="1"/>
  <c r="I101" i="5"/>
  <c r="D11" i="4" s="1"/>
  <c r="H11" i="4" s="1"/>
  <c r="I14" i="4"/>
  <c r="L30" i="5" l="1"/>
  <c r="M30" i="5" s="1"/>
  <c r="O30" i="5" s="1"/>
  <c r="O15" i="5"/>
  <c r="I10" i="4" l="1"/>
  <c r="I25" i="4"/>
  <c r="J25" i="4"/>
  <c r="I27" i="4"/>
  <c r="I29" i="4"/>
  <c r="I39" i="4"/>
  <c r="H39" i="4"/>
  <c r="J39" i="4"/>
  <c r="I41" i="4"/>
  <c r="F12" i="4"/>
  <c r="H12" i="4" l="1"/>
  <c r="G12" i="4"/>
  <c r="J14" i="4"/>
  <c r="J29" i="4"/>
  <c r="J20" i="4" s="1"/>
  <c r="J41" i="4"/>
  <c r="J10" i="4"/>
  <c r="I20" i="4"/>
  <c r="I13" i="4" s="1"/>
  <c r="I44" i="4" s="1"/>
  <c r="J13" i="4" l="1"/>
  <c r="J44" i="4" s="1"/>
  <c r="G39" i="4" l="1"/>
  <c r="L117" i="5" l="1"/>
  <c r="I116" i="5"/>
  <c r="D43" i="4" s="1"/>
  <c r="H43" i="4" s="1"/>
  <c r="L84" i="5" l="1"/>
  <c r="M84" i="5" s="1"/>
  <c r="O84" i="5" s="1"/>
  <c r="O8" i="5" l="1"/>
  <c r="O7" i="5" l="1"/>
  <c r="G29" i="4" l="1"/>
  <c r="G41" i="4"/>
  <c r="G27" i="4"/>
  <c r="G25" i="4" l="1"/>
  <c r="G20" i="4" s="1"/>
  <c r="F15" i="4" l="1"/>
  <c r="G15" i="4" s="1"/>
  <c r="H18" i="4"/>
  <c r="H17" i="4"/>
  <c r="H15" i="4" l="1"/>
  <c r="H10" i="4"/>
  <c r="H25" i="4"/>
  <c r="H29" i="4"/>
  <c r="G10" i="4"/>
  <c r="H27" i="4"/>
  <c r="I92" i="5"/>
  <c r="I76" i="5"/>
  <c r="D16" i="4" l="1"/>
  <c r="H16" i="4" s="1"/>
  <c r="I141" i="5"/>
  <c r="G14" i="4"/>
  <c r="G13" i="4" s="1"/>
  <c r="G44" i="4" s="1"/>
  <c r="H20" i="4"/>
  <c r="H14" i="4" l="1"/>
  <c r="H13" i="4" s="1"/>
  <c r="M81" i="5"/>
  <c r="O81" i="5" s="1"/>
  <c r="H41" i="4" l="1"/>
  <c r="H44" i="4" s="1"/>
  <c r="L120" i="5"/>
  <c r="M120" i="5" s="1"/>
  <c r="O120" i="5" s="1"/>
  <c r="L119" i="5"/>
  <c r="M119" i="5" s="1"/>
  <c r="O119" i="5" s="1"/>
  <c r="L118" i="5"/>
  <c r="M118" i="5" s="1"/>
  <c r="O118" i="5" s="1"/>
  <c r="M117" i="5"/>
  <c r="O117" i="5" s="1"/>
  <c r="L115" i="5"/>
  <c r="M115" i="5" s="1"/>
  <c r="O115" i="5" s="1"/>
  <c r="M114" i="5"/>
  <c r="O114" i="5" s="1"/>
  <c r="L110" i="5"/>
  <c r="M110" i="5" s="1"/>
  <c r="O110" i="5" s="1"/>
  <c r="K80" i="5"/>
  <c r="F41" i="4" l="1"/>
  <c r="E41" i="4"/>
  <c r="C41" i="4"/>
  <c r="F39" i="4"/>
  <c r="E39" i="4"/>
  <c r="D39" i="4"/>
  <c r="C39" i="4"/>
  <c r="C35" i="4"/>
  <c r="F29" i="4"/>
  <c r="E29" i="4"/>
  <c r="D29" i="4"/>
  <c r="C29" i="4"/>
  <c r="F27" i="4"/>
  <c r="E27" i="4"/>
  <c r="D27" i="4"/>
  <c r="C27" i="4"/>
  <c r="F25" i="4"/>
  <c r="E25" i="4"/>
  <c r="D25" i="4"/>
  <c r="C25" i="4"/>
  <c r="F14" i="4"/>
  <c r="D14" i="4"/>
  <c r="C14" i="4"/>
  <c r="D10" i="4"/>
  <c r="F10" i="4"/>
  <c r="E10" i="4"/>
  <c r="C10" i="4"/>
  <c r="C20" i="4" l="1"/>
  <c r="C13" i="4" s="1"/>
  <c r="C44" i="4" s="1"/>
  <c r="F20" i="4"/>
  <c r="F13" i="4" s="1"/>
  <c r="F44" i="4" s="1"/>
  <c r="E14" i="4"/>
  <c r="D20" i="4"/>
  <c r="E20" i="4"/>
  <c r="D13" i="4" l="1"/>
  <c r="E13" i="4"/>
  <c r="E44" i="4" s="1"/>
  <c r="D41" i="4" l="1"/>
  <c r="D44" i="4" s="1"/>
  <c r="F48" i="4" l="1"/>
  <c r="F46" i="4" l="1"/>
  <c r="F47" i="4" s="1"/>
</calcChain>
</file>

<file path=xl/sharedStrings.xml><?xml version="1.0" encoding="utf-8"?>
<sst xmlns="http://schemas.openxmlformats.org/spreadsheetml/2006/main" count="2094" uniqueCount="856">
  <si>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</si>
  <si>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</si>
  <si>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</si>
  <si>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</si>
  <si>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</si>
  <si>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</si>
  <si>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</si>
  <si>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</si>
  <si>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</si>
  <si>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</si>
  <si>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</si>
  <si>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</si>
  <si>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</si>
  <si>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</si>
  <si>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</si>
  <si>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</si>
  <si>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</si>
  <si>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</si>
  <si>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</si>
  <si>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</si>
  <si>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</si>
  <si>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</si>
  <si>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</si>
  <si>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</si>
  <si>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</si>
  <si>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</si>
  <si>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</si>
  <si>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</si>
  <si>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</si>
  <si>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</si>
  <si>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</si>
  <si>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 xml:space="preserve">Bienestar e incentivos </t>
  </si>
  <si>
    <t>Mínima Cuantía</t>
  </si>
  <si>
    <t xml:space="preserve">Contrato de prestación de servicios </t>
  </si>
  <si>
    <t>80111504
Formación o desarrollo laboral</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</si>
  <si>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</si>
  <si>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</si>
  <si>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</si>
  <si>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</si>
  <si>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</si>
  <si>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</si>
  <si>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</si>
  <si>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</si>
  <si>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</si>
  <si>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</si>
  <si>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</si>
  <si>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</si>
  <si>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</si>
  <si>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</si>
  <si>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</si>
  <si>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</si>
  <si>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</si>
  <si>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</si>
  <si>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</si>
  <si>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</si>
  <si>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</si>
  <si>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</si>
  <si>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</si>
  <si>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</si>
  <si>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</si>
  <si>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</si>
  <si>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</si>
  <si>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</si>
  <si>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</si>
  <si>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</si>
  <si>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</si>
  <si>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</si>
  <si>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</si>
  <si>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</si>
  <si>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</si>
  <si>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</si>
  <si>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</si>
  <si>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</si>
  <si>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</si>
  <si>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</si>
  <si>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</si>
  <si>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</si>
  <si>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</si>
  <si>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 xml:space="preserve">85101605 auxiliares
de salud a domicilio
85101604 servicios
de asistencia de
personal médico
</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</si>
  <si>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</si>
  <si>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</si>
  <si>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</si>
  <si>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</si>
  <si>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</si>
  <si>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</si>
  <si>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</si>
  <si>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</si>
  <si>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</si>
  <si>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</si>
  <si>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</si>
  <si>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</si>
  <si>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</si>
  <si>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Capacitación Externa</t>
  </si>
  <si>
    <t xml:space="preserve">80111504
Formación o desarrollo laboral
</t>
  </si>
  <si>
    <t>Mejoramiento de las competencias laborales de los funcionarios  de la Contraloría de Bogotá, D.C.</t>
  </si>
  <si>
    <t>Capacitación Interna</t>
  </si>
  <si>
    <t>DIRECCIÓN DE PLANEACIÓN</t>
  </si>
  <si>
    <t>DIRECCIÓN DE TECNOLOGÍAS DE LA INFORMACIÓN Y LAS COMUNICACIONES</t>
  </si>
  <si>
    <t>331140326-0776</t>
  </si>
  <si>
    <t>Fortalecimiento de la capacidad institucional para un control fiscal efectivo y transparente</t>
  </si>
  <si>
    <t>81111504
81111507
81112218</t>
  </si>
  <si>
    <t>81111504
81111507
81112218
81112205</t>
  </si>
  <si>
    <t>Se requiere garantizar la continuidad y sostenibilidad a la Conectividad por medio de canales de acceso a Internet y intercomunicación entre las diferentes sedes de la Contraloría</t>
  </si>
  <si>
    <t>Licitación Pública</t>
  </si>
  <si>
    <t>OFICINA ASESORA DE COMUNICACIONES</t>
  </si>
  <si>
    <t>Servicios Personales Indirectos</t>
  </si>
  <si>
    <t>Es importante tener un registro de la información presentada a la opinión pública a través de los medios de comunicación sobre la gestión de la Contraloría de Bogotá</t>
  </si>
  <si>
    <t>Promoción Institucional</t>
  </si>
  <si>
    <t>82131600 Fotógrafos cinematógrafos</t>
  </si>
  <si>
    <t>Es necesario contar con un video institucional actualizado, que muestre el que hacer de la entidad.</t>
  </si>
  <si>
    <t>Información</t>
  </si>
  <si>
    <t>Coadyuvar al posicionamiento de la imagen de la Contraloría de Bogotá.</t>
  </si>
  <si>
    <t xml:space="preserve"> Mínima Cuantía</t>
  </si>
  <si>
    <t>82101802
Servicios de
producción
publicitaria</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</si>
  <si>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</si>
  <si>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</si>
  <si>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</si>
  <si>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</si>
  <si>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</si>
  <si>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</si>
  <si>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</si>
  <si>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</si>
  <si>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</si>
  <si>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</si>
  <si>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</si>
  <si>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</si>
  <si>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</si>
  <si>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</si>
  <si>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</si>
  <si>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</si>
  <si>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</si>
  <si>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</si>
  <si>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</si>
  <si>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</si>
  <si>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</si>
  <si>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</si>
  <si>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</si>
  <si>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</si>
  <si>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3311403240-770</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</si>
  <si>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</si>
  <si>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</si>
  <si>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</si>
  <si>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</si>
  <si>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</si>
  <si>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</si>
  <si>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</si>
  <si>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</si>
  <si>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</si>
  <si>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</si>
  <si>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</si>
  <si>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</si>
  <si>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</si>
  <si>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</si>
  <si>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</si>
  <si>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</si>
  <si>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</si>
  <si>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</si>
  <si>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</si>
  <si>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</si>
  <si>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</si>
  <si>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</si>
  <si>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</si>
  <si>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</si>
  <si>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</si>
  <si>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</si>
  <si>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</si>
  <si>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</si>
  <si>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</si>
  <si>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</si>
  <si>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</si>
  <si>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</si>
  <si>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</si>
  <si>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</si>
  <si>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</si>
  <si>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</si>
  <si>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</si>
  <si>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</si>
  <si>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</si>
  <si>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</si>
  <si>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</si>
  <si>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</si>
  <si>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</si>
  <si>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</si>
  <si>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</si>
  <si>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</si>
  <si>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</si>
  <si>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</si>
  <si>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</si>
  <si>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</si>
  <si>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</si>
  <si>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</si>
  <si>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</si>
  <si>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</si>
  <si>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</si>
  <si>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</si>
  <si>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</si>
  <si>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</si>
  <si>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</si>
  <si>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</si>
  <si>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</si>
  <si>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</si>
  <si>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</si>
  <si>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</si>
  <si>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</si>
  <si>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</si>
  <si>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</si>
  <si>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</si>
  <si>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</si>
  <si>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</si>
  <si>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</si>
  <si>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</si>
  <si>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</si>
  <si>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</si>
  <si>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</si>
  <si>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</si>
  <si>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</si>
  <si>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</si>
  <si>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</si>
  <si>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</si>
  <si>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DIRECCIÓN ADMINISTRATIVA Y FINANCIERA - SUBDIRECCIÓN DE CONTRATACIÓN</t>
  </si>
  <si>
    <t>CÓDIGO PRESUPUESTAL</t>
  </si>
  <si>
    <t>NOMBRE RUBRO Y SUBRUBRO PRESUPUESTAL</t>
  </si>
  <si>
    <t>SERVICIOS PERSONALES INDIRECTOS</t>
  </si>
  <si>
    <t>Remuneración Servicios Técnicos</t>
  </si>
  <si>
    <t>GASTOS GENERALES</t>
  </si>
  <si>
    <t>Dotación</t>
  </si>
  <si>
    <t>Combustibles. Lubricantes y Llantas</t>
  </si>
  <si>
    <t>Materiales y Suministros</t>
  </si>
  <si>
    <t>Adquisición de Servicios</t>
  </si>
  <si>
    <t>Viáticos y Gastos de Viaje</t>
  </si>
  <si>
    <t>Impresos y Publicaciones</t>
  </si>
  <si>
    <t>Mantenimiento y Reparaciones</t>
  </si>
  <si>
    <t>Seguros</t>
  </si>
  <si>
    <t xml:space="preserve">Capacitación </t>
  </si>
  <si>
    <t>Bienestar e Incentivos</t>
  </si>
  <si>
    <t>Programas y Convenios Institucionales</t>
  </si>
  <si>
    <t>Publicidad</t>
  </si>
  <si>
    <t>OTROS GASTOS GENERALES</t>
  </si>
  <si>
    <t>INVERSIÓN</t>
  </si>
  <si>
    <t>Control social a la gestión pública</t>
  </si>
  <si>
    <t>TOTAL PRESUPUESTO UNIDAD 01</t>
  </si>
  <si>
    <t>CONTRATACIÓN PROGRAMADA PAA</t>
  </si>
  <si>
    <t>FUNCIONAMIENTO</t>
  </si>
  <si>
    <t xml:space="preserve">Nota 1:  El Plan Anual de Adquisiciones no incluye los rubros de: "Sentencias Judiciales" ni "Otras Sentencias"
</t>
  </si>
  <si>
    <t>PLAN ANUAL DE ADQUISICIONES VIGENCIA 2016</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</si>
  <si>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</si>
  <si>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</si>
  <si>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</si>
  <si>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</si>
  <si>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</si>
  <si>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</si>
  <si>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</si>
  <si>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</si>
  <si>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</si>
  <si>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</si>
  <si>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</si>
  <si>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</si>
  <si>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</si>
  <si>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</si>
  <si>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</si>
  <si>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</si>
  <si>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r>
      <rPr>
        <b/>
        <sz val="11"/>
        <rFont val="Calibri"/>
        <family val="2"/>
      </rPr>
      <t xml:space="preserve">86101705 </t>
    </r>
    <r>
      <rPr>
        <sz val="11"/>
        <rFont val="Calibri"/>
        <family val="2"/>
      </rPr>
      <t>Capacitación administrativa</t>
    </r>
  </si>
  <si>
    <t xml:space="preserve">Inversión </t>
  </si>
  <si>
    <t>Consultoría</t>
  </si>
  <si>
    <t>RESPONSABLE
(JEFE DEPENDENCIA)</t>
  </si>
  <si>
    <t>ESTADO</t>
  </si>
  <si>
    <t>FUNCIONARIO ESTUDIO PREVIO</t>
  </si>
  <si>
    <t>FUNCIONARIO
PROCESO CONTRACTUAL</t>
  </si>
  <si>
    <t>CONCEPTO DEL GASTO</t>
  </si>
  <si>
    <t>Memorando 3-2015-26853 del 29-12-2015.</t>
  </si>
  <si>
    <t>WILLIAM, FUENTES</t>
  </si>
  <si>
    <t>GABRIEL GUZMÁN USECHE</t>
  </si>
  <si>
    <t>GUSTAVO MONZÓN GARZÓN</t>
  </si>
  <si>
    <t>VALOR CONTRATADO</t>
  </si>
  <si>
    <t>Prestación de servicios para la realización de un (1) programa de 3 tres (3) días para los servidores(as) prepensionados o próximos a su jubilación.</t>
  </si>
  <si>
    <t>Suministro de combustible de gasolina tipo corriente y ACPM, para el parque automotor de propiedad de la Contraloría de Bogotá D.C., y de los que llegare a ser legalmente responsable al servicio de la Entidad.</t>
  </si>
  <si>
    <t>META 2
Contratación de canales dedicados de internet y de datos.</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</si>
  <si>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</si>
  <si>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</si>
  <si>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</si>
  <si>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</si>
  <si>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</si>
  <si>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Proyecto 776 FORTALECIMIENTO DE LA CAPACIDAD INSTITUCIONAL PARA UN CONTROL FISCAL EFECTIVO Y TRANSPARENTE</t>
  </si>
  <si>
    <t>META</t>
  </si>
  <si>
    <t>PUNTO DE INVERSIÓN</t>
  </si>
  <si>
    <t>RECURSOS PROGRAMADOS
$</t>
  </si>
  <si>
    <t>RECURSOS EJECUTADOS</t>
  </si>
  <si>
    <t>SALDO</t>
  </si>
  <si>
    <t>FECHA DE RADICACIÓN NECESIDAD</t>
  </si>
  <si>
    <t>OBSERVACIONES</t>
  </si>
  <si>
    <t>N/A</t>
  </si>
  <si>
    <t>4. Adecuar áreas de trabajo para  cinco (5) sedes pertenecientes a la Contraloría de Bogotá.</t>
  </si>
  <si>
    <t>RECURSOS EJECUTADOS
$</t>
  </si>
  <si>
    <t>5. Implementar el 100% de los programas ambientales establecidos en el Plan Institucional de Gestión Ambiental PIGA 2012- 2016.</t>
  </si>
  <si>
    <t>6. Adquirir 16 vehículos por reposición para el ejercicio de la función de vigilancia y control a la gestión del control fiscal. (Meta cuatrienio)</t>
  </si>
  <si>
    <t>7. Organización de 2.000 metros lineales de los fondos documentales del Archivo Central de la Contraloría de Bogotá (identificación, organización, clasificación y
depuración).</t>
  </si>
  <si>
    <t>PROYECTO 770 CONTROL SOCIAL A LA GESTIÓN PÚBLICA</t>
  </si>
  <si>
    <t>RECURSOS PROGRAMADOS</t>
  </si>
  <si>
    <t>1. Desarrollar pedagogía social, formativa e ilustrativa</t>
  </si>
  <si>
    <t>2. Realizar acciones ciudadanas especiales</t>
  </si>
  <si>
    <t>3. Utilizar los medios locales de comunicación</t>
  </si>
  <si>
    <t>4. Desarrollar y ejecutar estrategias de comunicación.</t>
  </si>
  <si>
    <t>En elaboración de estudio previo</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</si>
  <si>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</si>
  <si>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</si>
  <si>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</si>
  <si>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</si>
  <si>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</si>
  <si>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</si>
  <si>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CAMILA TORRES</t>
  </si>
  <si>
    <t>Contrato suscrito</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</si>
  <si>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</si>
  <si>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</si>
  <si>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</si>
  <si>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</si>
  <si>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</si>
  <si>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</si>
  <si>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</si>
  <si>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</si>
  <si>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</si>
  <si>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</si>
  <si>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SEGUIMIENTO PROYECTOS DE INVERSIÓN 2016</t>
  </si>
  <si>
    <t>Memorando 3-2016-03156 del 10-02-2016</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</si>
  <si>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</si>
  <si>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</si>
  <si>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</si>
  <si>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</si>
  <si>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</si>
  <si>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</si>
  <si>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</si>
  <si>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ALEXANDRA MORENO BRICEÑO</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</si>
  <si>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</si>
  <si>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</si>
  <si>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</si>
  <si>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</si>
  <si>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</si>
  <si>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</si>
  <si>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</si>
  <si>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</si>
  <si>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</si>
  <si>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</si>
  <si>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</si>
  <si>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</si>
  <si>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</si>
  <si>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DIANA MARCELA MARTÍNEZ</t>
  </si>
  <si>
    <t>Memorando 3-2015-26035 del 14-12-2015. 
Devuelto con observaciones.
Reenviado memorando 3-2016-00242 del 08-01-2016.
Contrato 2 del 01-02-2016 con la Lotería de Bogotá</t>
  </si>
  <si>
    <t>CONTRALORÍA DE BOGOTÁ,D.C.</t>
  </si>
  <si>
    <t>NIT: 800245133-5</t>
  </si>
  <si>
    <t>MES</t>
  </si>
  <si>
    <t>No. DEL PROCESO SECOP</t>
  </si>
  <si>
    <t>No. CONTRATO</t>
  </si>
  <si>
    <t>OBJETO</t>
  </si>
  <si>
    <t>MODALIDAD DE SELECCIÓN</t>
  </si>
  <si>
    <t>MODALIDAD DE SELECCIÓN/TIPO DE ADJUDICACIÓN/
TIPO DE PROCESO</t>
  </si>
  <si>
    <t>TIPO DE CONTRATO /CLASE DE CONTRATO/TIPOLOGÍA</t>
  </si>
  <si>
    <t>VALOR DEL CONTRATO</t>
  </si>
  <si>
    <t>CONTRATISTA</t>
  </si>
  <si>
    <t>OTROS DATOS DEL CONTRATISTA</t>
  </si>
  <si>
    <t>CÓDIGO UNSPSC
Decreto 1510 de 2013</t>
  </si>
  <si>
    <t>UNIDAD EJECUTORA</t>
  </si>
  <si>
    <t>DISPONIBILIDAD  PRESUPUESTAL</t>
  </si>
  <si>
    <t>REGISTRO  PRESUPUESTAL</t>
  </si>
  <si>
    <t>TIPO DE GASTO</t>
  </si>
  <si>
    <t>ORIGEN DE RECURSOS</t>
  </si>
  <si>
    <t>FECHA DE FIRMA Y/0 SUSCRIPCIÓN</t>
  </si>
  <si>
    <t>Nº DE PÓLIZA
ENTIDAD Y FECHA</t>
  </si>
  <si>
    <t>FECHA DE APROBACIÓN GARANTÍA ÚNICA</t>
  </si>
  <si>
    <t>FECHA NOTIFICACIÓN COMO SUPERVISOR</t>
  </si>
  <si>
    <t>FECHA DEL ACTA DE INICIACIÓN
SI LA HAY</t>
  </si>
  <si>
    <t>FECHA DE INICIO</t>
  </si>
  <si>
    <t>PLAZO DEL CONTRATO
(DÍAS)</t>
  </si>
  <si>
    <t>FECHA DE TERMINACIÓN
(Depende del acta de inicio)</t>
  </si>
  <si>
    <t>PRORROGAS
SI LA HAY</t>
  </si>
  <si>
    <t>NUEVA
FECHA DE TERMINACIÓN CON PRÓRROGA</t>
  </si>
  <si>
    <t>ADICIONES/OTRO SI</t>
  </si>
  <si>
    <t>DISPONIBILIDAD  PRESUPUESTAL 
DE LA ADICIÓN</t>
  </si>
  <si>
    <t>REGISTRO  PRESUPUESTAL
DE LA ADICIÓN</t>
  </si>
  <si>
    <t>VALOR FINAL DEL CONTRATO
(Valor Inicial + Adición)</t>
  </si>
  <si>
    <t>FECHA DE ACTA
SI LAS HAY</t>
  </si>
  <si>
    <t>SUPERVISOR</t>
  </si>
  <si>
    <t xml:space="preserve">  INFORMACIÓN SUPERVISOR</t>
  </si>
  <si>
    <t>DEPENDENCIA SOLICITANTE
 - ECO -</t>
  </si>
  <si>
    <t>PAGOS</t>
  </si>
  <si>
    <t>NUMERO RESERVA PRESUPUESTAL</t>
  </si>
  <si>
    <t>VALOR FINAL RESERVA</t>
  </si>
  <si>
    <t>ABOGADO</t>
  </si>
  <si>
    <t>VALOR MENSUAL</t>
  </si>
  <si>
    <t>TEMA</t>
  </si>
  <si>
    <t>NIT O C.C.</t>
  </si>
  <si>
    <t>DV</t>
  </si>
  <si>
    <t>NOMBRE</t>
  </si>
  <si>
    <t>DIRECCIÓN</t>
  </si>
  <si>
    <t>TELÉFONO</t>
  </si>
  <si>
    <t>MAIL</t>
  </si>
  <si>
    <t>TIPO CONFIGURACIÓN</t>
  </si>
  <si>
    <t>Nº</t>
  </si>
  <si>
    <t>FECHA</t>
  </si>
  <si>
    <t>VALOR</t>
  </si>
  <si>
    <t>CÓDIGO RUBRO</t>
  </si>
  <si>
    <t>DENOMINACIÓN RUBRO</t>
  </si>
  <si>
    <t>PROYECTO DE INVERSIÓN</t>
  </si>
  <si>
    <t>FECHA SUSCRIPCIÓN PRÓRROGA</t>
  </si>
  <si>
    <t>FECHA INICIO DE LA PRÓRROGA (Día siguiente a la terminación del contrato principal o ultima prórroga.</t>
  </si>
  <si>
    <t>PLAZO PRÓRROGA
DÍAS</t>
  </si>
  <si>
    <t>No.</t>
  </si>
  <si>
    <t>RUBRO</t>
  </si>
  <si>
    <t>DE TERMINACIÓN</t>
  </si>
  <si>
    <t>DE LIQUIDACIÓN</t>
  </si>
  <si>
    <t>TOTAL DE GIROS</t>
  </si>
  <si>
    <t>NÚMERO DE  PAGO</t>
  </si>
  <si>
    <t>VALOR DEL PAGO</t>
  </si>
  <si>
    <t>NÚMERO DE ORDEN DE PAGO</t>
  </si>
  <si>
    <t>FECHA EXPEDICIÓN ORDEN PAGO</t>
  </si>
  <si>
    <t>ENERO</t>
  </si>
  <si>
    <t>CB SASI 051 2015</t>
  </si>
  <si>
    <t>Adición No. 1 Contrato 64 de  2015 con INDUSTRIA COLOMBIANA DE CONFECCIONES Y DOTACIONES HS SAS</t>
  </si>
  <si>
    <t>Adición No. 1 Contrato 64 de  2015, objeto: Suministro y canje de bonos personalizados redimibles única y exclusivamente para la dotación de vestido y calzado para las funcionarias y funcionarios de la Contraloría de Bogotá</t>
  </si>
  <si>
    <t>15 15-Selección Abreviada - Subasta Inversa</t>
  </si>
  <si>
    <t xml:space="preserve">42 42-Suministro de Bienes en general </t>
  </si>
  <si>
    <t>INDUSTRIA COLOMBIANA DE CONFECCIONES Y DOTACIONES HS SAS</t>
  </si>
  <si>
    <t>Carrera 69 B No 100-67</t>
  </si>
  <si>
    <t>271 4200</t>
  </si>
  <si>
    <t>25 25-Sociedad por Acciones Simplificadas - SAS</t>
  </si>
  <si>
    <t xml:space="preserve">53101900 Traje
531016 Faldas y blusas (camisas para
hombre)
531116 Zapato
531025 Accesorios de
vestir (corbata)
</t>
  </si>
  <si>
    <t>NA</t>
  </si>
  <si>
    <t>2 2-Funcionamiento</t>
  </si>
  <si>
    <t>Recursos del Distrito (Transferencia)</t>
  </si>
  <si>
    <t>Seguros del Estado
No. 1444-101076158
del 22-01-2016</t>
  </si>
  <si>
    <t>NA ADICIÓN</t>
  </si>
  <si>
    <t>SUBDIRECTORA DE BIENESTAR SOCIAL</t>
  </si>
  <si>
    <t>GLORIA ALEXANDRA MORENO BRICEÑO</t>
  </si>
  <si>
    <t>51.898.556 </t>
  </si>
  <si>
    <t>DAVID ARENAS</t>
  </si>
  <si>
    <t xml:space="preserve">CB-CD-76-2015
</t>
  </si>
  <si>
    <t>Adición y Prórroga contrato 56 de 2015 con JAVIER ENRIQUE PAIPILLA ARANGO</t>
  </si>
  <si>
    <t>Adición y Prórroga contrato 56 de 2015, objeto: Prestar los servicios de apoyo a la Contraloría de Bogotá, D.C. en aspectos relacionados con la organización y manejo de bienes muebles y fungibles de acuerdo a los establecido en los procesos y procedimientos de recursos físicos de la Entidad.</t>
  </si>
  <si>
    <t>12 12-Contratación Directa (Ley 1150 de 2007)</t>
  </si>
  <si>
    <t xml:space="preserve">31 31-Servicios Profesionales </t>
  </si>
  <si>
    <t>6 6: Prestación de servicios</t>
  </si>
  <si>
    <t>JAVIER ENRIQUE PAIPILLA ARANGO</t>
  </si>
  <si>
    <t>CARRERA 65 # 79A-80</t>
  </si>
  <si>
    <t>3104867362
Nacimiento: Bogotá
Fecha:06-03-1993
EPS: Salud Total
AFP: Protección</t>
  </si>
  <si>
    <t>j.vi.er93@gmail.com</t>
  </si>
  <si>
    <t>26 26-Persona Natural</t>
  </si>
  <si>
    <t>80111601 Asistencia de oficina o administrativa temporal</t>
  </si>
  <si>
    <t>Remuneración servicios Técnicos</t>
  </si>
  <si>
    <t>Liberty Seguros S.A
2513636 del 25-01-2016</t>
  </si>
  <si>
    <t>SUBDIRECTOR DE RECURSOS MATERIALES</t>
  </si>
  <si>
    <t>MARIA CAMILA TORRES</t>
  </si>
  <si>
    <t>CB-CD-79-2015</t>
  </si>
  <si>
    <t>Adición y prórroga contrato 60 de 2015 con FABIO ENRIQUE SIERRA FLOREZ</t>
  </si>
  <si>
    <t>Adición y prórroga contrato 60 de 2015, objeto: 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</si>
  <si>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</si>
  <si>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 xml:space="preserve">Cra. 72 Bis No. 25B-50
</t>
  </si>
  <si>
    <t>3212320339
Nació. Bogotá, Fecha: 25-07-1954
EPS: Sanitas EPS.
AFP: Colpensiones</t>
  </si>
  <si>
    <t>contratos.contraloriabogota.gov.co</t>
  </si>
  <si>
    <t xml:space="preserve">80101509 Servicios de
,.asesoramiento
para asuntos
gubernamentales
y de relaciones
 comunitarias. </t>
  </si>
  <si>
    <t>Seguros del Estado
1744101127167 del 21-01-2016</t>
  </si>
  <si>
    <t>FALTA</t>
  </si>
  <si>
    <t>DIRECTOR DE PARTICIPACIÓN CIUDADANA Y DESARROLLO LOCAL</t>
  </si>
  <si>
    <t>GABRIEL ALEJANDRO GUZMÁN USECHE</t>
  </si>
  <si>
    <t>DIRECCIÓN DE PARTICIPACIÓN CIUDADANA Y DESARROLLO LOCAL</t>
  </si>
  <si>
    <t>BISMAR LONDOÑO</t>
  </si>
  <si>
    <t>CB-CD-76-2015</t>
  </si>
  <si>
    <t>Adición No. 1  y pórroga No. 1 Contrato 59 de 2015 con CARLOS ANDRES CORTES BARRIOS</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</si>
  <si>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</si>
  <si>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</si>
  <si>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Calle 137 No. 91-40 Int. 7 Apto 503</t>
  </si>
  <si>
    <t>3123795493
Nacimiento: Bogotá, 
Fecha: 05-08-1977
EPS: Sanitas
AFP: Porvenir</t>
  </si>
  <si>
    <t>andresco4@gmail.com</t>
  </si>
  <si>
    <t>80161506 Servicios de archivo de datos</t>
  </si>
  <si>
    <t>3110204</t>
  </si>
  <si>
    <t>Seguros del Estado
1744101127159 del 22-01-2016</t>
  </si>
  <si>
    <t>ADICIONES A CONTRATOS 2016</t>
  </si>
  <si>
    <t>Impuestos.Tasas.Contribuciones. Derechos y Multas</t>
  </si>
  <si>
    <t>Nota 2: No incluye Avances. gastos por Caja Menor. pagos por Resolución ni servicios públicos</t>
  </si>
  <si>
    <t>Cumplimiento de la normatividad  establecida en el Decreto 1978 de 1989 reglamentario de la Ley 70 de 1988 y contribuir al bienestar de los funcionarios de la Contraloría de Bogotá.</t>
  </si>
  <si>
    <t>3120210</t>
  </si>
  <si>
    <t>Memorando 3-2016-00574 del 14-01-2016.
Memorando 3-2016-05167 del 01-03-2016</t>
  </si>
  <si>
    <t>CB-LP-15-2015</t>
  </si>
  <si>
    <t>Adición 3 y prórroga 1 contrato 36 de 2015 con VIGIAS DE COLOMBIA S.R.L. LTDA</t>
  </si>
  <si>
    <t>Adición y prórroga contrato 36 de 2015 con VIGIAS DE COLOMBIA S.R.L. LTDA Objeto: 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</si>
  <si>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4 4-Proceso Licitatorio</t>
  </si>
  <si>
    <t>VIGIAS DE COLOMBIA S.R.L. LTDA</t>
  </si>
  <si>
    <t>Carrera 19 No. 166-34</t>
  </si>
  <si>
    <t>6 6-Sociedad Ltda.</t>
  </si>
  <si>
    <t>92121500 Servicios de
guardas de seguridad
92121700  Servicios de
sistemas de seguridad</t>
  </si>
  <si>
    <t>Seguros del Estado (Póliza Cumplimiento)
Nº 11-44-101068978
del 18-02-2016.
Seguros del Estado (Póliza Responsabilidad Civil)
No. 1040101016082
del 18-02-2016.</t>
  </si>
  <si>
    <t>SUBDIRECTOR DE SERVICIOS GENERALES</t>
  </si>
  <si>
    <t>GUSTAVO FRANCISCO MONZÓN GARZÓN</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</si>
  <si>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</si>
  <si>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</si>
  <si>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</si>
  <si>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</si>
  <si>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</si>
  <si>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</si>
  <si>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</si>
  <si>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JAIRO CARRILLO TORRES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</si>
  <si>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</si>
  <si>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Memorando del 29-01-2016.
Contato 5 del 17-02-2016 con AMAIDA PALACIOS JAIMES</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</si>
  <si>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</si>
  <si>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</si>
  <si>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</si>
  <si>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</si>
  <si>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</si>
  <si>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</si>
  <si>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MARÍA CAMILA TORRES</t>
  </si>
  <si>
    <t>Contratar los servicios profesionales de SGS COLOMBIA S.A. ente certificador para una visita, de seguimiento del Sistema de Gestión de Calidad - SGC-, bajo las normas técnicas NTC ISO 9001:2008 y NTCGP 1000:2009.</t>
  </si>
  <si>
    <t>Memorando 3-2016-0922 del 18-01-2016.
Contato 8 del 17-02-2016 con SGS COLOMBIA S.A.</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</si>
  <si>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</si>
  <si>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</si>
  <si>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</si>
  <si>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</si>
  <si>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</si>
  <si>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</si>
  <si>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</si>
  <si>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</si>
  <si>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Memorando 3-2015-26853 del 29-12-2015. 
Contaro 11 del 22-02-2016 con PUBLICACIONES SEMANA S.A</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</si>
  <si>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</si>
  <si>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</si>
  <si>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</si>
  <si>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</si>
  <si>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JAIRO TORRES</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</si>
  <si>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</si>
  <si>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</si>
  <si>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</si>
  <si>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Contyrato 16 del 26-02-2016 con ANYI TATIANA FORERO MARTIN</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</si>
  <si>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</si>
  <si>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</si>
  <si>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</si>
  <si>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</si>
  <si>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</si>
  <si>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META 2
Adquisición e instalación de sistema de aire acondicionado In Row para Datacenter.</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</si>
  <si>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</si>
  <si>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FEBRERO</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</si>
  <si>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</si>
  <si>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5. Desarrollar 7 Actividades y/o estrategias institucionales e interinstitucionales en el marco del Plan Anticorrupcion de la Contraloría de Bogotá. (Logística de eventos)</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</si>
  <si>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</si>
  <si>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9"/>
        <rFont val="Arial"/>
        <family val="2"/>
      </rPr>
      <t>META 1</t>
    </r>
    <r>
      <rPr>
        <sz val="9"/>
        <rFont val="Arial"/>
        <family val="2"/>
      </rPr>
      <t xml:space="preserve"> </t>
    </r>
    <r>
      <rPr>
        <b/>
        <sz val="9"/>
        <rFont val="Arial"/>
        <family val="2"/>
      </rPr>
      <t xml:space="preserve">Proyecto 770. </t>
    </r>
    <r>
      <rPr>
        <sz val="9"/>
        <rFont val="Arial"/>
        <family val="2"/>
      </rPr>
      <t xml:space="preserve">Desarrollar pedagogía social, formativa e ilustrativa $290.000.000
</t>
    </r>
    <r>
      <rPr>
        <b/>
        <sz val="9"/>
        <rFont val="Arial"/>
        <family val="2"/>
      </rPr>
      <t xml:space="preserve">META 2 Proyecto 770. </t>
    </r>
    <r>
      <rPr>
        <sz val="9"/>
        <rFont val="Arial"/>
        <family val="2"/>
      </rPr>
      <t xml:space="preserve"> Realizar acciones ciudadanas especiales $200.000.000
</t>
    </r>
    <r>
      <rPr>
        <b/>
        <sz val="9"/>
        <rFont val="Arial"/>
        <family val="2"/>
      </rPr>
      <t xml:space="preserve">META 3 Proyecto 770. </t>
    </r>
    <r>
      <rPr>
        <sz val="9"/>
        <rFont val="Arial"/>
        <family val="2"/>
      </rPr>
      <t xml:space="preserve"> Utilizar los medios locales de comunicación $51.800.000</t>
    </r>
  </si>
  <si>
    <t>Prestar los servicios profesionales a la Dirección de Hábitat y Ambiente de la Controlaría de Bogotá, D.C., en desarrollo de los temas técnicos ambientales relacionados con el proceso auditor en cumplimiento del PAD 2016.</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</si>
  <si>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</si>
  <si>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Prestación del servicio de área protegida de las urgencias y emergencias médicas las venticuatro (24) horas durante la vigencia del contrato en las diferentes sedes de la Contraloría de Bogotá, para funcionarios, usuarios, proveedores y visitantes de la Entidad.</t>
  </si>
  <si>
    <t>VALOR  ($)
PRESUPUESTO 
VIGENCIA 2016
Decreto 533 del 15-12- 2015</t>
  </si>
  <si>
    <t xml:space="preserve">VALOR ($)
PRESUPUESTADO POR LAS DEPENDENCIAS SOLICITANTES </t>
  </si>
  <si>
    <t xml:space="preserve">VALOR 
CONTRATADO 
</t>
  </si>
  <si>
    <t xml:space="preserve">ADICIONES A CONTRATOS
</t>
  </si>
  <si>
    <t>Adición suscrita</t>
  </si>
  <si>
    <t>Memorando del 02-03-2016.
Adición 1 y Prórroga 1 al contrato 118 del 2015, con  MARÍA CATALINA SÁENZ HIGUERA</t>
  </si>
  <si>
    <t>MARZO</t>
  </si>
  <si>
    <t>CB-CD-140-2015</t>
  </si>
  <si>
    <t>Adición 1 y Prórroga 1 al contrato 118 del 2015, con  MARÍA CATALINA SÁENZ HIGUERA</t>
  </si>
  <si>
    <t>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</si>
  <si>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MARÍA CATALINA SÁENZ HIGUERA</t>
  </si>
  <si>
    <t>Calle 163B No. 50-32 Interior 4 Apto 216 La Estancia 1</t>
  </si>
  <si>
    <t>3138284263
Nacimiento: 19-09-1984
Tunja (Boyacà)
AFP: Protección
Salud:  Café Salud.
Abogado</t>
  </si>
  <si>
    <t>catalinasaenzh@hotmail.com</t>
  </si>
  <si>
    <t>26 26-Persona Natural con establecimiento de comercio</t>
  </si>
  <si>
    <t>1 1 -Inversión</t>
  </si>
  <si>
    <t>Liberty Seguros S.A No. 2597114 del 03-08-2016</t>
  </si>
  <si>
    <t>CB-CD-56-2015</t>
  </si>
  <si>
    <t>Adición y prórroga al contrato 41 de 2015 con VANDERLEY CHAUCANAS CASTAÑEDA</t>
  </si>
  <si>
    <t>Adición y prórroga al contrato 41 de 2015 con VANDERLEY CHAUCANAS CASTAÑEDA, objeto: Prestar servicio de apoyo a la Contraloría en aspectos relacionados con la planeación, organización, desarrollo y seguimiento de los procesos y procedimientos del Almacén General.</t>
  </si>
  <si>
    <t>VANDERLEY CHAUCANAS CASTAÑEDA</t>
  </si>
  <si>
    <t>Cra. 90 A No.4-40 Casa 55</t>
  </si>
  <si>
    <t>3144422038
Nacimiento: 23-08-1976
Bogotá.
Ocupación: Auxiliar administrativo y afines.
EPS: EPS Sánitas 
AFP: Colfondos S.A
Mail: chauca1@live.com</t>
  </si>
  <si>
    <t>chauca1@live.com</t>
  </si>
  <si>
    <t>Aseguradora Solidaria de Colombia
35047994000003585 del XX</t>
  </si>
  <si>
    <t>Memorando  3-2016-04135 del 18-02-2016.
Contrato 20 del 08-03-2016 con CAROLINA FERNANDA GARROTE WILCHES</t>
  </si>
  <si>
    <t>Memorando del 08-02-2016.
Contrato 20 del 10-03-2016 con HEDDER ALEJANDRO VALLEJO FRANCO</t>
  </si>
  <si>
    <t>Memorando  3-2016-02627 del 5-02-2016.
Contrato 21 del 15-03-2016 con EMPRESA DE MEDICINA INTEGRAL GRUPO EMI S.A.</t>
  </si>
  <si>
    <t>Contratar la preproducción, producción y posproducción de dos videos institucionales de 30 seg  en  HD y 20 copias en formato DVD, para la Agencia Nacional de Televisión (ANTV)</t>
  </si>
  <si>
    <t>Elaboración de piezas comunicacionales (3 módulos informativos, 10 pendones, 200 cartillas institucionales, 1000 separadores de libros, 1500 stickers y 1500 cuadernos)</t>
  </si>
  <si>
    <t xml:space="preserve">META 5.
Adición 1 y prórroga 1 al Contrato 062 de 2015 con Areas Verdes Ltda. Objeto: Contratar la prestación del servicio de mantenimiento de material vegetal para la Contraloría de Bogotá.
</t>
  </si>
  <si>
    <t>Adquisición de 1.100 Licencias de antivirus por un (1) año, para los computadores de la Contraloría de Bogotá, distribuidas de la siguiente manera: 1070 licencias para computadores personales (todo en uno, escritorio y portátiles) y 30 licencias para servidores (físicos y virtuales).</t>
  </si>
  <si>
    <t>Memorando 3-2016-03692 del 15-02-2016.
Devuelto memorando  3-2016-06731 del 16-03-2016.
Reenviado: 3-2016-07384 del 29-03-2016</t>
  </si>
  <si>
    <t>Prestación de servicios especializado para la realización de tres (3) caminatas ecológicas, cada una con grupos de 52 personas para un total de 156 personas, (servidores y familias) de la Contraloría de Bogotá,D.C.</t>
  </si>
  <si>
    <t>Memorando 3-2016-07463 del 30-03-2016</t>
  </si>
  <si>
    <t xml:space="preserve">Prestación de servicios para el desarrollo de (4) jornadas de intervención en clima organizacional con la finalidad de fortalecer el ambiente laboral y la gestión institucional en los funcionarios de la Contraloría de Bogotá. </t>
  </si>
  <si>
    <t>Mìnima cuantía</t>
  </si>
  <si>
    <t>Contratar la adquisición de dos(2) sillas de evacuación por escaleras para personas con movilidad reducida</t>
  </si>
  <si>
    <t>Memorando 3-2016-07473 del 30-03-2016</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</si>
  <si>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</si>
  <si>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Se requiere contratar el programa del sistema integrado de  conservación para Archivo Documental.</t>
  </si>
  <si>
    <t>META 7.
Programa de capacitación Decreto 1080 de 2015 y Ley 594 de 2000</t>
  </si>
  <si>
    <t>Se requiere contratar el programa de capacitación en el Decreto 1080 de 2015 y Ley 594 de 2000.</t>
  </si>
  <si>
    <t>META 2
Adquisición de 1.000 Licencias de uso por un (1) año de Microsoft Office 365 Enterprise en el Plan -E1</t>
  </si>
  <si>
    <t>Selección Abreviada Acuerdo Marco de Precios</t>
  </si>
  <si>
    <t>CB-SASI-130-2015</t>
  </si>
  <si>
    <t>Adición 1 y Prórroga 1 al  Contrato 125 de 2015 con UNION TEMPORAL CONTRALORIA 130-2015</t>
  </si>
  <si>
    <t>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</si>
  <si>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t>
  </si>
  <si>
    <t xml:space="preserve">121 121-Compraventa (Bienes Muebles) </t>
  </si>
  <si>
    <t>UNION TEMPORAL CONTRALORIA 130-2015</t>
  </si>
  <si>
    <t>Calle 59ª No. 5-53 oficina 206</t>
  </si>
  <si>
    <t>1 1-Unión Temporal</t>
  </si>
  <si>
    <t>52161500 Equipos audiovisuales
45111800 Equipos de presentación
de video y de mezcla de
video y sonido, hardware
y controladores
45111700 Equipos de composición
y presentación de sonido,
hardware y controladores
45111600 Proyectores y
suministros</t>
  </si>
  <si>
    <t>Confianza
No. 24 GU053361 del XX</t>
  </si>
  <si>
    <t>DIRECTORA DE TECNOLOGÍAS DE LA INFORMACIÓN Y LAS COMUNICACIONES</t>
  </si>
  <si>
    <t>Se requiere adquisición de Equipos Tecnológicos para dotar las salas de Capacitación y Sala Contralores del Piso 9o.</t>
  </si>
  <si>
    <t>3120212</t>
  </si>
  <si>
    <t>En revisión de estudio previo</t>
  </si>
  <si>
    <t>Se devolvió para ajustes en el Anexo 3 y Estudios Previos, de acuerdo a la normatividad vigente. 29 de marzo de 2016.</t>
  </si>
  <si>
    <t>+</t>
  </si>
  <si>
    <t xml:space="preserve">AVANCE CUMPLIMIENTO EJECUCION PLAN DE ADQUISICIONES
</t>
  </si>
  <si>
    <t>Prestación de servicios para el desarrollo de las actividades que con llevan la aplicabilidad del "Plan Institucional de Seguridad Vial" -PlSV.</t>
  </si>
  <si>
    <t>Memorando 3-2016-07738 del 01-04-2016</t>
  </si>
  <si>
    <t>En elaboración de Estudio Previo</t>
  </si>
  <si>
    <t>Adquisición e instalación de la señalización y elementos de seguridad industrial para las cinco (5) sedes de la Contraloría de  Bogotá, D.C.</t>
  </si>
  <si>
    <t>Prestación del servicio de admisión, tratamiento, curso y entrega de correo certificado a nivel urbano, nacional e internacional de las diferentes comunicaciones generadas por las  dependencias y direcciones de la Contraloria de Bogotá,D.C.</t>
  </si>
  <si>
    <t>Prestar los servicios para la realización de exámenes de medicina preventiva para  los servidores públicos de la Contraloría de Bogotá, D,C., de conformidad con las especificaciones técnicas.</t>
  </si>
  <si>
    <t>Memorando: 3-2016-07805 del 01-04-2016</t>
  </si>
  <si>
    <t>Mantenimiento preventivo y correctivo integral con el suministro de repuestos para las diferentes "UPS" y la planta eléctrica de la Contraloría de Bogotá.</t>
  </si>
  <si>
    <t>Adquisición de kit de carretera y botiquines con sus respectivos elementos para dotar el parque automotor de propiedad de  la Contraloría de Bogotá y/o de los que llegare a ser legalmente responsable.</t>
  </si>
  <si>
    <t>Recursos disponibles de la contratación realizada</t>
  </si>
  <si>
    <t xml:space="preserve">Se hace necesario contratar los servicios de profesor de canto para fortalecer las actividades sociales y culturales para que representen a la entidad en muestras culturales distritales. </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</si>
  <si>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</si>
  <si>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Prestación de servicios </t>
  </si>
  <si>
    <t>Memorando 3-2015-25996 del 14-12-2015.
Devuelto con memorando 3-2016-01084 del 22-01-2016, para realizar ajustes a la necesidad en especificaciones técnicas y materia ambiental.</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</si>
  <si>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</si>
  <si>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 Menor cuantía</t>
  </si>
  <si>
    <t>El 30 de Marzo de 2016 se suscribió la prórroga No. 1  al Contrato 95 de 2015 con SOCIEDAD HOTELERA TEQUENDAMA S.A., por 5 meses y fecha de terminación  30 de agosto de 2016.  (Nota:  Para esta meta existen recursos de reserva presupuestal vigencia 2015, por valor de $19.654.946).
La contratación de la vigencia 2016 se encuentra en témino para iniciar el nuevo proceso, con el fin de contratar la  prestación del servicio para el apoyo logístico requerido. Recursos asignados vigencia 2016: $64.000.000.</t>
  </si>
  <si>
    <t>80141902 Reuniones y
Eventos
80161502  Servicio de
Planificación de
Reuniones
90111601  Centros de
Conferencias
90111603 Sala de reuniones o banquetes
90111803 Suites</t>
  </si>
  <si>
    <t>Contratar la compra de elementos de protección personal para los servidores públicos de la Contraloría de Bogotá.</t>
  </si>
  <si>
    <t>Radicación necesidad: Memorando del 08-02-2016.
Contrato 23 del 01-04-2016 con HILDA MARÍA BARRAGÁN APONTE</t>
  </si>
  <si>
    <t>Memorando  3-2016-08783 del 12-04-2016</t>
  </si>
  <si>
    <t xml:space="preserve">
CONSOLIDADO REPORTE DE NECESIDADES PARA ADQUISICIÓN DE BIENES, SERVICIOS Y OBRAS, VIGENCIA 2016
DIRECCIÓN ADMINISTRATIVA Y FINANCIERA - SUBDIRECCIÓN DE CONTRATACIÓN</t>
  </si>
  <si>
    <t>Realización de Diplomados, cursos presenciales o cursos virtuales, en diverso temas relacionados con los Procesos Misionales de la Entidad, tales como Estudios de Economía y Política Pública, Control y Vigilancia a la Gestión Fiscal y Responsabilidad Fiscal y Jurisdicción Coactiva. Impartir capacitaciones en temas de Normas Técnicas de Calidad ISO 9001, GP 1000, 14000, entre otras.</t>
  </si>
  <si>
    <t>SANDRA SOTELO</t>
  </si>
  <si>
    <t>72121103 Servicios de renovación y reparación de edificios comerciales y de oficinas</t>
  </si>
  <si>
    <t>Selección abreviada menor cuantía</t>
  </si>
  <si>
    <t>Memorando 3-2016-04294 del 22-02-2016.
Devuelta para ajustes.
Reenviada: Memorando 3-2016-09295 del 18-04-2016</t>
  </si>
  <si>
    <t>Memorando 3-2016-04294 del 22-02-2016.
Devuelto para ajustes:
Reenviado: 3-2016-09286 del 18-04-2016.</t>
  </si>
  <si>
    <t xml:space="preserve">53102704 Uniformes institucionales para la preparación de alimentos y servicios.
53111602 Zapatos para mujer.
46181604 Botas de seguridad. 
</t>
  </si>
  <si>
    <t>53101604 Camisas y blusas para mujer
53101904 Trajes para mujer.
53101902 Trajes para hombre.
53101602 Camisas para hombre.
53102502 Corbatas o pañoletas o bufanda.
53111602 Zapatos para mujer
53111601 Zapatos para hombre.</t>
  </si>
  <si>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</si>
  <si>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r>
      <rPr>
        <b/>
        <sz val="10"/>
        <rFont val="Arial"/>
        <family val="2"/>
      </rPr>
      <t>META 4</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</si>
  <si>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Prestación de servicios profesionales para la capacitación de funcionarios de la Contraloría de Bogotá, D.C., mediante un curso de normas contables NIIFS y NIICS.</t>
  </si>
  <si>
    <t xml:space="preserve">93141701
Organización de eventos culturales
</t>
  </si>
  <si>
    <t>Memorando: 3-2016-09470 del 20-04-2016</t>
  </si>
  <si>
    <t>Memorando: 3-2016-09521 del 20-04-2016</t>
  </si>
  <si>
    <t>Se esTá a la espera de los resultados de la convocatoria DG-0003 de 2016 con el SENA, para determinar si se adelanta el proceso contractual.</t>
  </si>
  <si>
    <t>55121904
Carteleras</t>
  </si>
  <si>
    <t>Memorando 3-2014604140 del 18-02-2016.
Devuelto para ajustes 29-03-2016.
Reenviado: memorando 3-2016-07996 del 05-04-2016</t>
  </si>
  <si>
    <t>Memorando 3-2016-06416 del 14-03-2016.
Se solicitará levantamiento presupuestal de $4.500.000 par un total de $22.500.000 en el rubro Compra de Equipo.</t>
  </si>
  <si>
    <t>Adquirir dos cámaras fotográficas, micrófonos de acuerdo a las especificaciones técnicas establecidas por la Contraloría de Bogotá.</t>
  </si>
  <si>
    <t>Cámaras digitales
45121506 Cámaras de video conferencia
Cámaras grabadoras o video cámaras digitales
45121601 Flash o iluminación para cámaras</t>
  </si>
  <si>
    <t>Memorando 3-2016-07831 del 01-04-2016.
Devuelto para ajustes con memorando 3-2016-09251 del 18-04-2016.
Reenviado Memorando 3-2016-09352 del 19-04-2016.</t>
  </si>
  <si>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</si>
  <si>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META 2
Contratación de servicios de desarrollo, matenimiento y soporte de los aplicativos PERNO-PREDIS-PAC-LIMAY - SAE-SAI de SI-CAPITAL.</t>
  </si>
  <si>
    <t>META 2
Adquisición de una solución de hardware y Software para la  Edición y Producción de Videos Institucionales</t>
  </si>
  <si>
    <t>META 7.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</si>
  <si>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META 5.
Prestación del servicio de recolección, manejo, transporte y disposición final de los residuos peligrosos - tóneres, luminarias y envases contaminados - generados por la Contraloría de Bogotá.</t>
  </si>
  <si>
    <t>Memorando 3-2016-05765 del 07-03-2016. 
Adición 1 y Prórroga 1 al  Contrato 125 de 2015 con UNION TEMPORAL CONTRALORIA 130-2015, suscrita el 07-03-2016</t>
  </si>
  <si>
    <t>Memorando 3-2016-08946 del 13-04-2016. Aprobado Junta de Compras del 18-04-2016.</t>
  </si>
  <si>
    <t>ABRIL</t>
  </si>
  <si>
    <t>CB-PMINC-57-2015</t>
  </si>
  <si>
    <t>Adición 2 y prórroga al contrato 62 de 2015 con AREAS VERDES LTDA</t>
  </si>
  <si>
    <t>Adición 2 y prórroga al contrato 62 de 2015 con AREAS VERDES LTDA, Objeto: Contratar la prestación del servicio de mantenimiento, diseño, suministro e instalación de material vegetal para la Contraloría de Bogotá D.C.</t>
  </si>
  <si>
    <t>14 14-Selección Abreviada - 10% Menor Cuantía</t>
  </si>
  <si>
    <t>ÁREAS VERDES LTDA</t>
  </si>
  <si>
    <t>Cr 28 # 86-55 OF 204 IN 8</t>
  </si>
  <si>
    <t>70111500  Plantas y árboles ornamentales</t>
  </si>
  <si>
    <t>Seguros del Estado
No. 2144-101198155
del XXX</t>
  </si>
  <si>
    <t>BISMAR</t>
  </si>
  <si>
    <t>Adición 2 al  Contrato 125 de 2015 con UNION TEMPORAL CONTRALORIA 130-2015</t>
  </si>
  <si>
    <t>Adición 2 y prórroga 2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t>
  </si>
  <si>
    <t>Confianza
No. 24 GU053361 del XXX</t>
  </si>
  <si>
    <t>Orden de compra 3215 Colombia Compra Eficiente</t>
  </si>
  <si>
    <t>Adición 1 al contrato 92 de 2015 con ETB</t>
  </si>
  <si>
    <t>Adición 1 al contrato 92 de 2015 con ETB, Objeto: Contratar los Servicios Integrales de Conectividad requeridos por la Contraloría de Bogotá D.C.</t>
  </si>
  <si>
    <t>Selección Abreviada por Acuerdo Marco de Precios</t>
  </si>
  <si>
    <t>Empresa de Telecomunicaciones de Bogotá - ETB S.A. ESP</t>
  </si>
  <si>
    <t>Carrera 8ª No. 20-56, Bogotá</t>
  </si>
  <si>
    <t>5 5-Sociedad Anónima</t>
  </si>
  <si>
    <t xml:space="preserve">811120 Servicios de
datos
811121 Servicios de
internet
</t>
  </si>
  <si>
    <t>Entregadas por el Proveedor ETB dentro de la operación principal del Acuerdo Marco de Precios.</t>
  </si>
  <si>
    <t>NA 
ACUERDO MARCO DE PRECIOS</t>
  </si>
  <si>
    <t>Radicación necesidad: Memorando del 08-02-2016.
Contrato 25 del 05 de abril de 2015 con IGNACIO MANUEL EPINAYU PUSHAINA</t>
  </si>
  <si>
    <t xml:space="preserve">Contratar la prestación de servicios para la ejecución de actividades campestres recreativas con ocasión a la celebración del día del niño y vacaciones recreativas en junio y diciembre.
</t>
  </si>
  <si>
    <t>Memorando 3-2016-03974 del 17-02-2016
Contrato 27 del 18-04-2016 con AMBIENTE Y SOLUCIONES SAS</t>
  </si>
  <si>
    <t>Memorando 3-2016-02755 del 8-02-2016
Contrato 26 del 18-04-2016 con ROYAL PARK LTDA</t>
  </si>
  <si>
    <t>Memorando 3-2015-25728 del 09-12-2015 
Contrato 28 del 22-04-2016  con ESTACIÓN DE SERVICIO CARRERA 50 S.A.S</t>
  </si>
  <si>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</si>
  <si>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</si>
  <si>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</si>
  <si>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t>PENDIENTE HASTA AGOTAR RECURSOS DEL ANTERIOR CONTRATO</t>
  </si>
  <si>
    <r>
      <rPr>
        <b/>
        <sz val="10"/>
        <rFont val="Arial"/>
        <family val="2"/>
      </rPr>
      <t>80161506</t>
    </r>
    <r>
      <rPr>
        <sz val="10"/>
        <rFont val="Arial"/>
        <family val="2"/>
      </rPr>
      <t xml:space="preserve"> Servicios de
Archivo de
Datos</t>
    </r>
  </si>
  <si>
    <t>Radicación Necesidad: 11-04-2016.
Contrato 30 del 29-04-2016 con CECILIA CHÁVEZ ROMERO</t>
  </si>
  <si>
    <t>Memorando solicitando adición y prórroga de fecha 30-03-2016.
Adición 2 y prórroga al contrato 62 de 2015 con AREAS VERDES LTDA</t>
  </si>
  <si>
    <t>META 2: 
Adición 1 al contrato 92 de 2015 con ETB, Objeto: Contratar los Servicios Integrales de Conectividad requeridos por la Contraloría de Bogotá D.c.
Motivo de la adición: Traslado canales de San Cayetano.</t>
  </si>
  <si>
    <t>Memorando 3-2016-07357 del 29-03-2016.
Memorando 3-2016-08227 del 07-04-2016</t>
  </si>
  <si>
    <t>MÓNICA MARCELA QUINTERO GIRALDO, Jefe Oficina Asesora de Comunicaciones
Ejerce la Supervisión.</t>
  </si>
  <si>
    <t>En revisión de la necesidad por la Dirección TIC</t>
  </si>
  <si>
    <t>40101701 Aires acondicionados</t>
  </si>
  <si>
    <t xml:space="preserve">43232103 Software de creación y edición de video.
43222619 Equipo de video de red.
</t>
  </si>
  <si>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</si>
  <si>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r>
      <t xml:space="preserve">Abril-2016:Se </t>
    </r>
    <r>
      <rPr>
        <b/>
        <sz val="10"/>
        <rFont val="Arial"/>
        <family val="2"/>
      </rPr>
      <t>restan</t>
    </r>
    <r>
      <rPr>
        <sz val="10"/>
        <rFont val="Arial"/>
        <family val="2"/>
      </rPr>
      <t xml:space="preserve"> 71.000.000 para proceso correo en la Nube
Se debe contar con un equipo que soporte en el datacenter de la entidad las condiciones de temperatura que se requieren para garantizar la funcionalidad de los equipos de plataforma tecnológica que se encuentran instalados.</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</si>
  <si>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</si>
  <si>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r>
      <rPr>
        <b/>
        <sz val="10"/>
        <rFont val="Arial"/>
        <family val="2"/>
      </rPr>
      <t xml:space="preserve">Abril-2016: </t>
    </r>
    <r>
      <rPr>
        <sz val="10"/>
        <rFont val="Arial"/>
        <family val="2"/>
      </rPr>
      <t xml:space="preserve">Se restan 29.565.801 para Macroproyectos y 5.000.000 para Adición de ETB ctro 125-2015 
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</si>
  <si>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$1.931.400 y $1.500.000 para adicion contrato 125-2015 de Tableros Interactivos.  : Se </t>
    </r>
    <r>
      <rPr>
        <b/>
        <sz val="10"/>
        <rFont val="Arial"/>
        <family val="2"/>
      </rPr>
      <t>restan</t>
    </r>
    <r>
      <rPr>
        <sz val="10"/>
        <rFont val="Arial"/>
        <family val="2"/>
      </rPr>
      <t xml:space="preserve"> 30.000.000 para compra equipos de Oficina Comunicaciones 
Se requiere Renovación Licenciamiento Autocad y Suit de Adobe ya que este se requiere realizar anualmente para garantizar la disponibilidad de estas herramientas para los usuarios de Comunicaciones, Bienestar y Grupos de Auditoria relacionados con obras civiles.</t>
    </r>
  </si>
  <si>
    <t xml:space="preserve">Memorando 3-2016-05765 del 07-03-2016.
Adición 2 del 07-04-2016  al  Contrato 125 de 2015 con UNION TEMPORAL CONTRALORIA 130-2015 </t>
  </si>
  <si>
    <t>Memorando solicitando 
Adición fecha 19-02-2016. 
Compra APROBADA por SECOP el 22 de Abril/2016</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</si>
  <si>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</si>
  <si>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TOTAL META 4 PROY 770 SIN SUSPENSIÓN</t>
  </si>
  <si>
    <t>Nota 3: El valor del Plan Anual de Adquisiciones será susceptible de modificación en la medida que surjan nuevas necesidades que no se tenían previstas para la vigencia.</t>
  </si>
  <si>
    <t>Nota 4:  El valor contratado de inversión, incluye las adiciones a contratos</t>
  </si>
  <si>
    <t>TOTALES</t>
  </si>
  <si>
    <t>Memorando radicado 21-04-2016</t>
  </si>
  <si>
    <t>Adquisición de  carteleras para todas las Sedes de la  Contraloría de Bogotá.  Memorando radicado 21-04-2016</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</si>
  <si>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</si>
  <si>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</si>
  <si>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</si>
  <si>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</si>
  <si>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</si>
  <si>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 xml:space="preserve">2. Implementar el 100% de las soluciones tecnológicas que involucran los componentes de hardware, software y comunicaciones  para el fortalecimiento de las TIC´s en la Contraloría de Bogotá. 
Responsable: Adriana del Pilar Guerra Martinez - Directora TIC </t>
  </si>
  <si>
    <r>
      <rPr>
        <b/>
        <sz val="10"/>
        <rFont val="Arial"/>
        <family val="2"/>
      </rPr>
      <t xml:space="preserve"> </t>
    </r>
    <r>
      <rPr>
        <sz val="10"/>
        <rFont val="Arial"/>
        <family val="2"/>
      </rPr>
      <t xml:space="preserve">Se hace modificación de tiempo y cantidad de ingenieros.  Se contratara cuatro (4) Ingenieros para apoyo de SI CAPITAL .  (3) ingenieros conforme a los contratos de apoyo que se tenían programados para los Módulos de PERNO-FINANCIEROS E INVENTARIOS.  (1) Ingeniero como itegrador del proyecto </t>
    </r>
    <r>
      <rPr>
        <b/>
        <sz val="10"/>
        <rFont val="Arial"/>
        <family val="2"/>
      </rPr>
      <t xml:space="preserve">NIIF.  </t>
    </r>
    <r>
      <rPr>
        <sz val="10"/>
        <rFont val="Arial"/>
        <family val="2"/>
      </rPr>
      <t>Los 4 contratos a un término de seis (6) meses.  Se dejan recursos para Adiciones con la autorización del nuevo contralor
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r>
  </si>
  <si>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</si>
  <si>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</si>
  <si>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81112218
81112205</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</si>
  <si>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</si>
  <si>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</si>
  <si>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 xml:space="preserve">Radicacion de necesidad </t>
  </si>
  <si>
    <t>8. Implementar NICSP 100%Nuevo marco normativo contable bajo normas internacionales de contabilidad del sector público - NICSP</t>
  </si>
  <si>
    <t xml:space="preserve">META 5  PROYECTO 770: Desarrollar 3 estrategias y/o actividades   institucionales e interinstitucionales en el marco del Plan Anticorrupción de la Contraloría de Bogotá 
Objeto del contrato 
Prestación de servicios para la organización, administración y ejecución de acciones logísticas para la realización de eventos institucionales e interinstitucionales requeridos por la Contraloría de Bogotá D.C.
</t>
  </si>
  <si>
    <t>Radicación necesidad: Memorando 3-2015-25467 del 04-12-2015
Devuelto para ajustes con memorando 3-2016-00473 del 13-01-2016
Reenviado Memorando   3-2016-04715 del 25-02-2016.
Radicacion de necesidad, de acuerdo al levantamiento de la suspension presupuestal: memorando 3-2016-12218 de 18 de mayo de 2016. 
Elaboración de estudio previo.</t>
  </si>
  <si>
    <t xml:space="preserve">TOTAL METAS 1, 2 Y 3 PROY 770 </t>
  </si>
  <si>
    <t xml:space="preserve">Memorando 3-2015-25467 del 04-12-2015
Devuelto para ajustes con memorando 3-2016-00473 del 13-01-2016
Reenviado Memorando   3-2016-04715 del 25-02-2016.
Memorando 3-2016-12218 de 18-05-2016 se radica necesidad teniendo en cuenta el levantamiento de la suspensión presupuestal. </t>
  </si>
  <si>
    <t>Memorando 3-2016-07465 del 30-03-2016
Contrato No. 31 de 6 de mayo de 2016</t>
  </si>
  <si>
    <t xml:space="preserve">CONTRALORA AUXILIAR </t>
  </si>
  <si>
    <t>801015 Servicios consultoria negocios administración corporativa
801016 Gerencia de proyectos
861017 Servicios de capacitación no- cientifica</t>
  </si>
  <si>
    <t xml:space="preserve">Meta 8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</si>
  <si>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 xml:space="preserve">CONTRALORA AUXILIAR - SUBDIRECCION DE CAPACITACION - SUBDIRECCION FINANCIERA </t>
  </si>
  <si>
    <t>Radicado el 20 de mayo de 2016 hora 4:19 pm</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</si>
  <si>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</si>
  <si>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r>
      <t xml:space="preserve">META 4 Proyecto 770: Desarrollar y ejecutar estrategias de comunicación.
Contratar  los servicios de diseño, diagramación, impresión y distribución de cuatro (4)  ediciones trimestrales del periódico institucional “Control Capital” (cada edición con un tiraje de 100.000 ejemplares). 
</t>
    </r>
    <r>
      <rPr>
        <b/>
        <sz val="10"/>
        <rFont val="Arial"/>
        <family val="2"/>
      </rPr>
      <t/>
    </r>
  </si>
  <si>
    <r>
      <t xml:space="preserve">META 4 Proyecto 770: Desarrollar y ejecutar estrategias de comunicación.
Elaboración de chaquetas institucionales con la imagen corporativa de la entidad para los funcionarios para impulsar espacios de participación y acercamiento de la ciudadanía al Estado, para proporcionarle información que le sirva de base para que se apropie del control social y coadyuve a lograr la imagen del Ente de Control 
</t>
    </r>
    <r>
      <rPr>
        <b/>
        <sz val="10"/>
        <rFont val="Arial"/>
        <family val="2"/>
      </rPr>
      <t/>
    </r>
  </si>
  <si>
    <t>Se radica necesidad el 20 de mayo de 2016 - 4:19 pm</t>
  </si>
  <si>
    <t>En estudio previo</t>
  </si>
  <si>
    <t xml:space="preserve">5 dias hábiles </t>
  </si>
  <si>
    <t>Radico necesidad con memorando 3-2016-12615 de 20 de mayo de 2016</t>
  </si>
  <si>
    <t xml:space="preserve">Contratar el suministro y canje de bonos personalizados redimibles única y exclusivamente para la dotación. de vestido y calzado para las servidoras y servidores que ocupan el cargo de Auxiliares de Servicios Generales de la Contraloría de Bogotá D.C. </t>
  </si>
  <si>
    <t xml:space="preserve">TOTAL META 7 </t>
  </si>
  <si>
    <t xml:space="preserve">TOTAL META 4 </t>
  </si>
  <si>
    <t xml:space="preserve">TOTAL META 5 </t>
  </si>
  <si>
    <t xml:space="preserve">TOTAL META 6 </t>
  </si>
  <si>
    <t xml:space="preserve">META 5.
Adquisición de bolsas biodegradables para residuos ordinarios y residuos reciclables. </t>
  </si>
  <si>
    <t xml:space="preserve">META 5.
Prestación del servicio de diseño  e implementaciòn de un sistema de reutilizaciòn de aguas lluvias en 2 sedes de la Entidad y presentaciòn de alternativas tecnologicas de ahorro de agua en la Contraloìa de Bogotà. </t>
  </si>
  <si>
    <t xml:space="preserve">META 5
Adquisción de vàlvulas ahorradoras para las llaves de las posetas de lavado de la Entidad
</t>
  </si>
  <si>
    <t xml:space="preserve">META 5
Adquisiciòn de luminarias tipo Let para la sustituciòn de las actuales en el pìso 5 de la Sede Principal de la Entidad </t>
  </si>
  <si>
    <t>32</t>
  </si>
  <si>
    <t>Suministro de bonos navideños por un valor de ciento cinco mil pesos ($120.000) cada uno para redimir única y exclusivamente por juguetería y/o ropa infantil para los hijos de los servidores(as) de la Contraloría de Bogotá entre las edades de 0-12 años.</t>
  </si>
  <si>
    <t xml:space="preserve">80131504 Servicios de alojamiento </t>
  </si>
  <si>
    <t>Contratar la prestación de servicios para el alojamiento y alimentación de la delegación que asistirá en representación de la Contraloria de Bogotá, a los Juegos Nacionales del Control Fiscal (Previa invitacón)</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</si>
  <si>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</si>
  <si>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53102900 Prendas deportivas</t>
  </si>
  <si>
    <t xml:space="preserve">Contratar la compra de uniformes deportivos para representar a la Contraloria de Bogotá en los Juegos Nacionales de Control Fiscal </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</si>
  <si>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</si>
  <si>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Adquisición de 350 apoyapies para la Contraloría de Bogotá, D.C.</t>
  </si>
  <si>
    <t xml:space="preserve">Memorando 3-2016-07469 del 30-03-2016
Contrato 31 de 6 de mayo de 2016 con Grupo Laboral Ocupacional SAS </t>
  </si>
  <si>
    <t xml:space="preserve">42192210 Sillas de ruedas </t>
  </si>
  <si>
    <t xml:space="preserve">Adquisicón de dos (2) sillas de ruedas para trasnporte de compañía </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</si>
  <si>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</si>
  <si>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432300000 Sofware</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</si>
  <si>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</si>
  <si>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</si>
  <si>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En desarrollo del programa de ahorro y uso eficiente de agua del PIGA y en cumplimiento al Decreto 3102 de 1997 Art 6 y 7 y Resolución 0242 de 2014 Art 13 se hace necesario adquirir válvulas ahorradoras de agua para las posetas de lavado de toda la Entidad.</t>
  </si>
  <si>
    <t>23241615 Grifos</t>
  </si>
  <si>
    <t>39111503 Diodos emisores de luz (Led)</t>
  </si>
  <si>
    <t>En desarrollo del programa de ahorro y uso eficiente de energìa y  atendiendo la necesidad de optimizar el consumo de energía en el piso 5 de la Sede Principal donde se proyecta la instalación del panel solar se hace necesario la sustitución de las luminarias actuales por una tipo led.</t>
  </si>
  <si>
    <t>25172404  Sistema de almacenaje de combustible hibrido                                     121616002                     Catalizadores de combustión</t>
  </si>
  <si>
    <t>En desarrollo del programa de movilidad urbana sostenible del PIGA y en cumplimiento de la Resolución 242 de 2014 Art 13 en cuanto a uso eficiente de los combustibles se hace necesario la implementación de celdas de hidrogeno en los vehiculos de la Entidad.</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</si>
  <si>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</si>
  <si>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</si>
  <si>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 xml:space="preserve">93141701
Organización de eventos culturales
</t>
  </si>
  <si>
    <t xml:space="preserve">Prestar los servicios para el lanzamiento y la implementación del Sistema de Gestión de la Seguridad y Salud en el trabajo de la Contraloria de Bogotá D.C. </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</si>
  <si>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</si>
  <si>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55101515 Material promocional o reportes anuales</t>
  </si>
  <si>
    <t xml:space="preserve">Contratar los servicios de impresión de material promocional del Sistema de Gestión de la Seguridad y Salud en el trabajo de la Contraloria de Bogotá D.C. </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</si>
  <si>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la impresion de las cartillas y otros elemento promocionales</t>
  </si>
  <si>
    <t xml:space="preserve">META 5 
Suministro, instalación y mantenimiento por un año de  de sistemas de celdas de hidrògeno para ahorro de combustible en 9 vehìculos del parque automotor de la Entidad. </t>
  </si>
  <si>
    <t>Memorando 3-2016-07847 del 01-04-2016.
Devuelto para ajustes.
Reenviado: 3-2016-09316 del 18-04-2016
Memorando de radicado de necesidad 3-2016-12849 de 24 de mayo de 2016</t>
  </si>
  <si>
    <t>10 dias habiles</t>
  </si>
  <si>
    <t>5 dias habiles</t>
  </si>
  <si>
    <t>Memorando 3-2016-07847 del 01-04-2016.
Devuelto para ajustes.
Reenviado: 3-2016-09308 del 18-04-2016
Radicado de necesidad 3-2016-12894 de 25 de mayo de 2016</t>
  </si>
  <si>
    <t>1 dias habiles</t>
  </si>
  <si>
    <t>Memorando de radicado de necesidad 3-2016-12746</t>
  </si>
  <si>
    <t>nuevo</t>
  </si>
  <si>
    <t>Memorado radicado de necesidad 3-2016-12741</t>
  </si>
  <si>
    <t>Memorando: 3-2016-07461 del 30-03-2016
Devuelto 
Radicado de necesidad 3-2016-12749 de 23 de mayo de 2016</t>
  </si>
  <si>
    <t>ANGELA CONSUELO LAGOS PRIETO ( E)</t>
  </si>
  <si>
    <t>16-022-2016</t>
  </si>
  <si>
    <t>25101500
Vehículos de 
Pasajeros</t>
  </si>
  <si>
    <t xml:space="preserve">META 6
Adquirir seis (6) vehículos por reposición para el ejercicio de la función de vigilancia y control a la gestión fiscal. </t>
  </si>
  <si>
    <t>Se requiere renovar el parque automotor de la Contraloría, para lograr eficiencia en el consumo de combustible y mantenimiento y mejorar el desarrollo de los operativos misionales que se deben cumplir en ejercicio de la labor fiscalizadora de la Entidad.</t>
  </si>
  <si>
    <t>Memorando 3-2016-07847 del 01-04-2016.
Devuelto para ajustes.
Reenviado: 3-2016-09316 del 18-04-2016
Radicado de necesidad 3-2016-12847 de 25-05-2016</t>
  </si>
  <si>
    <t>Contratacion Directa</t>
  </si>
  <si>
    <t>Teniendo en  cuenta que las sedes externas estan siendo remodeladas y que serán entregadas al finalizar el año 2015, se proyectará la implementación de la Red Wi-Fi para la viggencia 2016</t>
  </si>
  <si>
    <t>Se requiere con prioridad esta contratación teniendo en cuenta el cumplimiento de los compromisos fijados en el plan de mejoramiento suscrito por la Dirección de TIC</t>
  </si>
  <si>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</si>
  <si>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Se ha identificado que de acuerdo a las modificaciones y reubicaciones de espacios en las diferentes áreas y sedes de la Contraloría de Bogotá,  se ha deteriorado el sistema de cableado estrucutrado, lo que puede generar dificultades en el desempeño de la Red. De igual fiorma se requiere adicionar o reubicar puntos de acuerdo a las necesidades de las áreas.Por ello, se requiere contar con el servicio especializdo que garnatice y certifique las instalaciones de todos los puntos.</t>
  </si>
  <si>
    <t>META 2
Adquisición de Solución WI-FI- para sedes Externas</t>
  </si>
  <si>
    <t>META 2
Contratación de servicios profesionales para la implementación de la herramienra de centralización de requerimientos de desarrollo en la Dirección de TIC</t>
  </si>
  <si>
    <t xml:space="preserve">META 2
Contratación de servicios profesionales apoyar la implementación de la primera fase del Modelo de Seguridad de la información </t>
  </si>
  <si>
    <t>META 2
Contratación de Servicios para la actualización, ampliación y mantenimiento del cableado estrucutrado</t>
  </si>
  <si>
    <t>VALOR TOTAL ADICIONES A 31-05-2016</t>
  </si>
  <si>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</si>
  <si>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Se requiere Implementar NICSP 100% Nuevo marco normativo contable bajo normas internacionales de contabilidad del sector público - NICSP</t>
  </si>
  <si>
    <t>META 8 
Implementar NICSP 100% Nuevo marco normativo contable bajo normas internacionales de contabilidad del sector público - NICSP</t>
  </si>
  <si>
    <t>TOTAL META 8</t>
  </si>
  <si>
    <t>TOTAL PROYECTO DE INVERSION 776 VIGENCIA 2016</t>
  </si>
  <si>
    <t>Radicación necesidad: Memorando 3-2016-12000 del 16-05-2016.
Contrato 45 del 31-05-2016, con "Macroproyectos SAS"</t>
  </si>
  <si>
    <t>Radicación necesidad: Memorando 3-2016-07557 del 30-03-2016.
Contrato 32 del 05-05-2016 con Colsoft</t>
  </si>
  <si>
    <t xml:space="preserve">TOTAL PROYECTO DE INVERSION 770 </t>
  </si>
  <si>
    <r>
      <rPr>
        <b/>
        <sz val="10"/>
        <rFont val="Arial"/>
        <family val="2"/>
      </rPr>
      <t xml:space="preserve">Metas 1, 2 y 3 Proyecto 770
</t>
    </r>
    <r>
      <rPr>
        <sz val="10"/>
        <rFont val="Arial"/>
        <family val="2"/>
      </rP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$390,000,000
</t>
    </r>
    <r>
      <rPr>
        <b/>
        <sz val="10"/>
        <rFont val="Arial"/>
        <family val="2"/>
      </rPr>
      <t xml:space="preserve">META 2 Proyecto 770. </t>
    </r>
    <r>
      <rPr>
        <sz val="10"/>
        <rFont val="Arial"/>
        <family val="2"/>
      </rPr>
      <t xml:space="preserve"> Realizar acciones ciudadanas especiales $300,000,000
</t>
    </r>
    <r>
      <rPr>
        <b/>
        <sz val="10"/>
        <rFont val="Arial"/>
        <family val="2"/>
      </rPr>
      <t xml:space="preserve">META 3 Proyecto 770. </t>
    </r>
    <r>
      <rPr>
        <sz val="10"/>
        <rFont val="Arial"/>
        <family val="2"/>
      </rPr>
      <t xml:space="preserve"> Utilizar los medios locales de comunicación $170,000,000.</t>
    </r>
  </si>
  <si>
    <t>53101802 Abrigos o chaquetas para hombre
53101804 Abrigos o chaquetas para mujer</t>
  </si>
  <si>
    <t>Memorando 3-2016-12346 del 18-05-2016</t>
  </si>
  <si>
    <t>En estudio de la necesidad</t>
  </si>
  <si>
    <t xml:space="preserve">TOTAL PROYECTOS DE INVERSIÓN 776 Y 770 </t>
  </si>
  <si>
    <t>Memorando: 3-2016-09153 del 15-04-2016
Devuelto el 12 de mayo para ajustes
Se readica de nuevo 3-2016-13289 del 31 de mayo de 2016</t>
  </si>
  <si>
    <t>Se radica necesidad el 16 de mayo de 2016
Contrato suscrito No. 37 de 23 de mayo de 2016 con Luis Alfonso Colmenares Rodriguez</t>
  </si>
  <si>
    <t>Se radica necesidad el 16 de mayo de 2016
Contrato suscrito No. 38 de 23 de mayo de 2016 con Hernando Ferney Marin Rodriguez</t>
  </si>
  <si>
    <t>Memorando 3-2016-11993 del 16-05-2016
Contrato No. 39 de 24 de mayo de 2016</t>
  </si>
  <si>
    <t xml:space="preserve">Memorando 3-2016-11704 del 11-05-2016
Contrato No. 40 de 26 de mayo de 2016  </t>
  </si>
  <si>
    <t xml:space="preserve">Memorando 3-2016-11696 del 11-05-2016
Contrato suscrito No. 42 de  27 de mayo de 2016
</t>
  </si>
  <si>
    <t>Memorando 3-2016-11999 del 16-05-2016
Contrato No. 44 de 31 de mayo de 2016</t>
  </si>
  <si>
    <t xml:space="preserve">TOTAL META 5 PROY 770 </t>
  </si>
  <si>
    <t xml:space="preserve">TOTAL META 2 </t>
  </si>
  <si>
    <t>META 4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</si>
  <si>
    <t>META 4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</si>
  <si>
    <t>META 4
Mantenimiento, adecuación y remodelación de las áreas de trabajo para las sedes de la Contraloría de Bogotá D.C.</t>
  </si>
  <si>
    <t>META 4
Suministro e instalación de mobiliario para oficinas y áreas de archivo, para las diferentes dependencias y sedes de la Contraloría de Bogotá, D.C.</t>
  </si>
  <si>
    <t>META 4
Obras  de mitigación para el  manejo de aguas servidas, superficiales y estabilidad geotécnica de la sede vacacional Hotel Club y Centro de Estudios de la Contraloría de Bogotá, ubicada en las fincas Pacande y Yajaira de la Vereda el Espinalito Municipio de Fusagasuga.</t>
  </si>
  <si>
    <t>META 4
Mantenimiento preventivo y correctivo de las puertas en vidrio templado instaladas en los accesos en las diferentes dependencias del edificio Lotería de Bogotá, sede principal de la Contraloría de Bogotá.</t>
  </si>
  <si>
    <t xml:space="preserve">META 4
Interventoría técnica, administrativa, jurídica, financiera y ambiental de la obras de mitigación para el  manejo de aguas servidas, superficiales y estabilidad geotécnica del Centro de Estudios de la Contraloría de Bogotá. </t>
  </si>
  <si>
    <t>META 6
Adquirir  seis (6) vehículos por reposición para el ejercicio de la función de vigilancia y control  a la gestión fiscal.</t>
  </si>
  <si>
    <t>Radicación necesidad: Memorando 3-2014604140 del 18-02-2016.
En revisón de estudio previo. Se expidió CDP  por valor de $157.541.947, modalidad de contratación: Selección Abreviada Subasta Inversa.</t>
  </si>
  <si>
    <t>Memorando: 3-2016-07470 del 30-03-2016
Devuelto 
Nueva radicacion de necesidad 3-2016-13685 de 03-06-2016</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</si>
  <si>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</si>
  <si>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Radicación necesidad: Memorando 3-2016-07557 del 30-03-2016.
Contrato 32 del 05-05-2016 con U.T. Sofware y Servicios Eficientes (COLSOF) S.A.</t>
  </si>
  <si>
    <t>Memorando de solicitud de contratación del 14 de abril de 2016 
Contrato No. 33 de 17-05-2016. Orden de Compra 8373 Acuerdo Marco de Precios. Con Twity S.A.</t>
  </si>
  <si>
    <t>Memorando de solicitud de contratación del 14 de abril de 2016. 
Contrato No. 34 de 17-05-2016, Orden de compra 8374 Acuerdo Marco de Precios, Confecciones Paez S.A.</t>
  </si>
  <si>
    <t>Memorando de solicitud de contratación del 14 de abril de 2016. 
Contrato No. 35 de 17-05-2016, Orden de compra 8375 Acuerdo Marco de Precios, Twity S.A.</t>
  </si>
  <si>
    <t xml:space="preserve">Memorando de solicitud de contratación del 14 de abril de 2016.
Contrato No. 36 de 17-05-16, Orden de Compra 8376 Acuerdo Marco de Precios, con Fernando Guerrero Caro </t>
  </si>
  <si>
    <t>Memorando 3-2016-07832 del 01-04-2016
Contrato No. 41 de 26-05-2016 con REDEX SAS</t>
  </si>
  <si>
    <t>SALDO = PRESUPUESTO DISPONIBLE  Menos VALOR CONTRATADO Menos ADICIONES A CONTRATOS
7=3-5-6</t>
  </si>
  <si>
    <t>SALDO= PPTO DISPONIBLE- PPTO.  SOLICITADO POR DEPENDENCIAS- ADICIONES 
(8)=(3-4-6)</t>
  </si>
  <si>
    <t xml:space="preserve">SALDO APROPIACIÓN DISPONIBLE SEGÚN PREDIS A 31 DE MAYO DE 2016 
</t>
  </si>
  <si>
    <t>FECHA DE CORTE: 31-05-2016</t>
  </si>
  <si>
    <t>Fecha de corte: 31-05-2016</t>
  </si>
  <si>
    <t>RECURSOS COMPROMETIDOS CON CDP
(10)=(3-9)</t>
  </si>
  <si>
    <t xml:space="preserve">Memorando 3-2016-11993 del 16-05-2016
Contrato No. 39 de 24 de mayo de 2016 con Sergio Alfonso Rodriguez Guerrero </t>
  </si>
  <si>
    <t xml:space="preserve">Memorando 3-2016-11999 del 16-05-2016
Contrato No. 44 de 31 de mayo de 2016 Lorena Jeisel Arias Pinzon </t>
  </si>
  <si>
    <t xml:space="preserve">Memorando 3-2016-11696 del 11-05-2016
Contrato suscrito No. 42 de  27 de mayo de 2016 JAIME ALBERTO VERA ROJAS
</t>
  </si>
  <si>
    <t>Memorando 3-2016-11704 del 11-05-2016
Contrato No. 40 de 26 de mayo de 2016  con DIANA GISELLE CARO MORENO</t>
  </si>
  <si>
    <t>Contratar la adquisicion de insumos para la impresión de dos (2) ediciones de la revista Bogota Economica, un (1) informe de gestión, una (1) cartilla institucional y piezas impresas</t>
  </si>
  <si>
    <t>Adquisicion de suscripcion por un año a periodico El Tiempo (5), El Espectador (3), La Respublica (1), Portafolio (4), Revista Semana (4), Revista Dinero (3), Nuevo Siglo (1)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</si>
</sst>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164" formatCode="_ * #,##0.00_ ;_ * \-#,##0.00_ ;_ * &quot;-&quot;??_ ;_ @_ "/>
    <numFmt numFmtId="165" formatCode="#,##0.00\ _€"/>
    <numFmt numFmtId="166" formatCode="#,##0\ _€"/>
    <numFmt numFmtId="167" formatCode="_ * #,##0_ ;_ * \-#,##0_ ;_ * &quot;-&quot;??_ ;_ @_ "/>
    <numFmt numFmtId="168" formatCode="dd/mm/yyyy;@"/>
    <numFmt numFmtId="169" formatCode="0_)"/>
    <numFmt numFmtId="170" formatCode="#,##0_ ;\-#,##0\ "/>
    <numFmt numFmtId="171" formatCode="yyyy\-mm\-dd;@"/>
    <numFmt numFmtId="172" formatCode="#,##0.0"/>
    <numFmt numFmtId="173" formatCode="#,##0;[Red]#,##0"/>
    <numFmt numFmtId="174" formatCode="#,##0.0;[Red]#,##0.0"/>
    <numFmt numFmtId="175" formatCode="#,##0.00;[Red]#,##0.00"/>
    <numFmt numFmtId="176" formatCode="d/mm/yyyy;@"/>
    <numFmt numFmtId="177" formatCode="[$$-240A]#,##0"/>
  </numFmts>
  <fonts count="4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sz val="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sz val="11"/>
      <color rgb="FFFF0000"/>
      <name val="Calibri"/>
      <family val="2"/>
    </font>
    <font>
      <sz val="12"/>
      <name val="Arial"/>
      <family val="2"/>
    </font>
    <font>
      <b/>
      <i/>
      <sz val="12"/>
      <name val="Arial"/>
      <family val="2"/>
    </font>
    <font>
      <b/>
      <i/>
      <sz val="11"/>
      <name val="Arial"/>
      <family val="2"/>
    </font>
    <font>
      <i/>
      <sz val="12"/>
      <name val="Arial"/>
      <family val="2"/>
    </font>
    <font>
      <sz val="12"/>
      <color rgb="FFFF0000"/>
      <name val="Arial"/>
      <family val="2"/>
    </font>
    <font>
      <b/>
      <i/>
      <sz val="9"/>
      <name val="Arial"/>
      <family val="2"/>
    </font>
    <font>
      <b/>
      <sz val="20"/>
      <name val="Arial"/>
      <family val="2"/>
    </font>
    <font>
      <sz val="11"/>
      <name val="Calibri"/>
      <family val="2"/>
    </font>
    <font>
      <b/>
      <sz val="11"/>
      <name val="Calibri"/>
      <family val="2"/>
    </font>
    <font>
      <sz val="10"/>
      <color rgb="FF000000"/>
      <name val="Arial"/>
      <family val="2"/>
    </font>
    <font>
      <b/>
      <sz val="10"/>
      <color theme="1"/>
      <name val="Arial"/>
      <family val="2"/>
    </font>
    <font>
      <b/>
      <sz val="11"/>
      <color theme="1"/>
      <name val="Arial"/>
      <family val="2"/>
    </font>
    <font>
      <b/>
      <sz val="8"/>
      <color theme="1"/>
      <name val="Arial"/>
      <family val="2"/>
    </font>
    <font>
      <sz val="9"/>
      <color theme="1"/>
      <name val="Arial"/>
      <family val="2"/>
    </font>
    <font>
      <sz val="9"/>
      <name val="Arial"/>
      <family val="2"/>
    </font>
    <font>
      <b/>
      <sz val="9"/>
      <color theme="1"/>
      <name val="Arial"/>
      <family val="2"/>
    </font>
    <font>
      <sz val="8"/>
      <color theme="1"/>
      <name val="Arial"/>
      <family val="2"/>
    </font>
    <font>
      <b/>
      <sz val="9"/>
      <color rgb="FF000000"/>
      <name val="Arial"/>
      <family val="2"/>
    </font>
    <font>
      <sz val="11"/>
      <color theme="1"/>
      <name val="Arial"/>
      <family val="2"/>
    </font>
    <font>
      <sz val="10"/>
      <color theme="1"/>
      <name val="Arial"/>
      <family val="2"/>
    </font>
    <font>
      <sz val="11"/>
      <color rgb="FF000000"/>
      <name val="Arial"/>
      <family val="2"/>
    </font>
    <font>
      <b/>
      <sz val="8"/>
      <name val="Arial"/>
      <family val="2"/>
    </font>
    <font>
      <sz val="10"/>
      <name val="Arial"/>
      <family val="2"/>
    </font>
    <font>
      <sz val="11"/>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5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7C80"/>
        <bgColor indexed="64"/>
      </patternFill>
    </fill>
    <fill>
      <patternFill patternType="solid">
        <fgColor rgb="FFFABF8F"/>
        <bgColor indexed="64"/>
      </patternFill>
    </fill>
    <fill>
      <patternFill patternType="solid">
        <fgColor rgb="FFFFFFFF"/>
        <bgColor indexed="64"/>
      </patternFill>
    </fill>
    <fill>
      <patternFill patternType="solid">
        <fgColor rgb="FFFCD5B4"/>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theme="6" tint="0.59999389629810485"/>
        <bgColor indexed="64"/>
      </patternFill>
    </fill>
    <fill>
      <patternFill patternType="solid">
        <fgColor theme="5" tint="0.59999389629810485"/>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4"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cellStyleXfs>
  <cellXfs count="698">
    <xf numFmtId="0" fontId="0" fillId="0" borderId="0" xfId="0"/>
    <xf numFmtId="0" fontId="2" fillId="0" borderId="0" xfId="34"/>
    <xf numFmtId="0" fontId="0" fillId="0" borderId="0" xfId="0" applyAlignment="1">
      <alignment horizontal="justify" vertical="center" wrapText="1"/>
    </xf>
    <xf numFmtId="0" fontId="2" fillId="23" borderId="0" xfId="34" applyFill="1" applyAlignment="1">
      <alignment vertical="center"/>
    </xf>
    <xf numFmtId="0" fontId="0" fillId="23" borderId="0" xfId="0" applyFill="1" applyAlignment="1">
      <alignment vertical="center"/>
    </xf>
    <xf numFmtId="14" fontId="1" fillId="23" borderId="7" xfId="0" applyNumberFormat="1" applyFont="1" applyFill="1" applyBorder="1" applyAlignment="1">
      <alignment horizontal="right" vertical="top"/>
    </xf>
    <xf numFmtId="166" fontId="1" fillId="23" borderId="7" xfId="0" applyNumberFormat="1" applyFont="1" applyFill="1" applyBorder="1" applyAlignment="1">
      <alignment horizontal="center" vertical="top"/>
    </xf>
    <xf numFmtId="1" fontId="1" fillId="23" borderId="7" xfId="38" applyNumberFormat="1" applyFont="1" applyFill="1" applyBorder="1" applyAlignment="1" applyProtection="1">
      <alignment horizontal="justify" vertical="top" wrapText="1"/>
    </xf>
    <xf numFmtId="0" fontId="21" fillId="23" borderId="7" xfId="0" applyFont="1" applyFill="1" applyBorder="1" applyAlignment="1">
      <alignment horizontal="left" vertical="top" wrapText="1"/>
    </xf>
    <xf numFmtId="0" fontId="1" fillId="23" borderId="7" xfId="0" applyFont="1" applyFill="1" applyBorder="1" applyAlignment="1">
      <alignment horizontal="justify" vertical="top" wrapText="1"/>
    </xf>
    <xf numFmtId="0" fontId="1" fillId="23" borderId="7" xfId="34" applyFont="1" applyFill="1" applyBorder="1" applyAlignment="1">
      <alignment horizontal="justify" vertical="top" wrapText="1"/>
    </xf>
    <xf numFmtId="0" fontId="1" fillId="23" borderId="16" xfId="34" applyFont="1" applyFill="1" applyBorder="1" applyAlignment="1">
      <alignment horizontal="justify" vertical="top" wrapText="1"/>
    </xf>
    <xf numFmtId="0" fontId="0" fillId="0" borderId="0" xfId="0" applyAlignment="1">
      <alignment horizontal="center"/>
    </xf>
    <xf numFmtId="0" fontId="1" fillId="23" borderId="16" xfId="34" applyFont="1" applyFill="1" applyBorder="1" applyAlignment="1">
      <alignment vertical="top" wrapText="1"/>
    </xf>
    <xf numFmtId="0" fontId="1" fillId="23" borderId="7" xfId="34" applyFont="1" applyFill="1" applyBorder="1" applyAlignment="1">
      <alignment horizontal="left" vertical="top" wrapText="1"/>
    </xf>
    <xf numFmtId="14" fontId="1" fillId="23" borderId="7" xfId="0" applyNumberFormat="1" applyFont="1" applyFill="1" applyBorder="1" applyAlignment="1">
      <alignment horizontal="left" vertical="top" wrapText="1"/>
    </xf>
    <xf numFmtId="49" fontId="1" fillId="23" borderId="7" xfId="33" applyNumberFormat="1" applyFont="1" applyFill="1" applyBorder="1" applyAlignment="1">
      <alignment horizontal="justify" vertical="top"/>
    </xf>
    <xf numFmtId="0" fontId="1" fillId="23" borderId="7" xfId="0" applyFont="1" applyFill="1" applyBorder="1" applyAlignment="1">
      <alignment horizontal="center" vertical="top"/>
    </xf>
    <xf numFmtId="0" fontId="20" fillId="23" borderId="0" xfId="0" applyFont="1" applyFill="1"/>
    <xf numFmtId="0" fontId="15" fillId="23" borderId="7" xfId="34" applyFont="1" applyFill="1" applyBorder="1" applyAlignment="1">
      <alignment horizontal="justify" vertical="top"/>
    </xf>
    <xf numFmtId="166" fontId="1" fillId="23" borderId="7" xfId="34" applyNumberFormat="1" applyFont="1" applyFill="1" applyBorder="1" applyAlignment="1">
      <alignment vertical="top" wrapText="1"/>
    </xf>
    <xf numFmtId="1" fontId="1" fillId="23" borderId="7" xfId="0" applyNumberFormat="1" applyFont="1" applyFill="1" applyBorder="1" applyAlignment="1">
      <alignment horizontal="center" vertical="top" wrapText="1"/>
    </xf>
    <xf numFmtId="49" fontId="1" fillId="23" borderId="7" xfId="34" applyNumberFormat="1" applyFont="1" applyFill="1" applyBorder="1" applyAlignment="1">
      <alignment horizontal="center" vertical="top" wrapText="1"/>
    </xf>
    <xf numFmtId="49" fontId="1" fillId="23" borderId="7" xfId="34" applyNumberFormat="1" applyFont="1" applyFill="1" applyBorder="1" applyAlignment="1">
      <alignment horizontal="justify" vertical="top" wrapText="1"/>
    </xf>
    <xf numFmtId="49" fontId="1" fillId="23" borderId="7" xfId="34" applyNumberFormat="1" applyFont="1" applyFill="1" applyBorder="1" applyAlignment="1">
      <alignment horizontal="left" vertical="top" wrapText="1"/>
    </xf>
    <xf numFmtId="0" fontId="1" fillId="23" borderId="7" xfId="0" applyNumberFormat="1" applyFont="1" applyFill="1" applyBorder="1" applyAlignment="1" applyProtection="1">
      <alignment horizontal="justify" vertical="top" wrapText="1"/>
    </xf>
    <xf numFmtId="167" fontId="1" fillId="23" borderId="7" xfId="30" applyNumberFormat="1" applyFont="1" applyFill="1" applyBorder="1" applyAlignment="1">
      <alignment horizontal="right" vertical="top"/>
    </xf>
    <xf numFmtId="14" fontId="1" fillId="23" borderId="7" xfId="0" applyNumberFormat="1" applyFont="1" applyFill="1" applyBorder="1" applyAlignment="1">
      <alignment horizontal="right" vertical="top" wrapText="1"/>
    </xf>
    <xf numFmtId="0" fontId="15" fillId="23" borderId="7" xfId="34" applyFont="1" applyFill="1" applyBorder="1" applyAlignment="1">
      <alignment horizontal="center" vertical="top"/>
    </xf>
    <xf numFmtId="169" fontId="1" fillId="23" borderId="7" xfId="33" applyNumberFormat="1" applyFont="1" applyFill="1" applyBorder="1" applyAlignment="1" applyProtection="1">
      <alignment horizontal="center" vertical="top"/>
    </xf>
    <xf numFmtId="0" fontId="0" fillId="0" borderId="12" xfId="0" applyBorder="1"/>
    <xf numFmtId="0" fontId="0" fillId="0" borderId="21" xfId="0" applyBorder="1"/>
    <xf numFmtId="0" fontId="1" fillId="0" borderId="0" xfId="0" applyFont="1"/>
    <xf numFmtId="0" fontId="0" fillId="0" borderId="0" xfId="0" applyBorder="1"/>
    <xf numFmtId="0" fontId="17" fillId="24" borderId="10" xfId="34" applyNumberFormat="1" applyFont="1" applyFill="1" applyBorder="1" applyAlignment="1">
      <alignment horizontal="center" vertical="top" wrapText="1"/>
    </xf>
    <xf numFmtId="0" fontId="17" fillId="24" borderId="24" xfId="34" applyNumberFormat="1" applyFont="1" applyFill="1" applyBorder="1" applyAlignment="1">
      <alignment horizontal="center" vertical="top" wrapText="1"/>
    </xf>
    <xf numFmtId="0" fontId="0" fillId="24" borderId="0" xfId="0" applyFill="1" applyAlignment="1">
      <alignment vertical="top"/>
    </xf>
    <xf numFmtId="169" fontId="24" fillId="22" borderId="25" xfId="33" applyNumberFormat="1" applyFont="1" applyFill="1" applyBorder="1" applyAlignment="1" applyProtection="1">
      <alignment horizontal="justify" vertical="top"/>
    </xf>
    <xf numFmtId="0" fontId="25" fillId="22" borderId="25" xfId="33" applyFont="1" applyFill="1" applyBorder="1" applyAlignment="1" applyProtection="1">
      <alignment horizontal="left" vertical="top" wrapText="1"/>
    </xf>
    <xf numFmtId="0" fontId="23" fillId="0" borderId="0" xfId="0" applyFont="1" applyAlignment="1">
      <alignment vertical="top"/>
    </xf>
    <xf numFmtId="3" fontId="23" fillId="0" borderId="0" xfId="0" applyNumberFormat="1" applyFont="1" applyAlignment="1">
      <alignment vertical="top"/>
    </xf>
    <xf numFmtId="169" fontId="23" fillId="23" borderId="9" xfId="33" applyNumberFormat="1" applyFont="1" applyFill="1" applyBorder="1" applyAlignment="1" applyProtection="1">
      <alignment horizontal="left" vertical="top"/>
    </xf>
    <xf numFmtId="0" fontId="23" fillId="23" borderId="28" xfId="33" applyFont="1" applyFill="1" applyBorder="1" applyAlignment="1" applyProtection="1">
      <alignment vertical="top" wrapText="1"/>
    </xf>
    <xf numFmtId="0" fontId="23" fillId="23" borderId="0" xfId="0" applyFont="1" applyFill="1" applyAlignment="1">
      <alignment vertical="top"/>
    </xf>
    <xf numFmtId="3" fontId="23" fillId="23" borderId="0" xfId="0" applyNumberFormat="1" applyFont="1" applyFill="1" applyAlignment="1">
      <alignment vertical="top"/>
    </xf>
    <xf numFmtId="169" fontId="23" fillId="23" borderId="28" xfId="33" applyNumberFormat="1" applyFont="1" applyFill="1" applyBorder="1" applyAlignment="1" applyProtection="1">
      <alignment horizontal="left" vertical="top"/>
    </xf>
    <xf numFmtId="0" fontId="23" fillId="23" borderId="9" xfId="33" applyFont="1" applyFill="1" applyBorder="1" applyAlignment="1" applyProtection="1">
      <alignment vertical="top" wrapText="1"/>
    </xf>
    <xf numFmtId="0" fontId="24" fillId="22" borderId="25" xfId="33" applyFont="1" applyFill="1" applyBorder="1" applyAlignment="1" applyProtection="1">
      <alignment horizontal="left" vertical="top" wrapText="1"/>
    </xf>
    <xf numFmtId="3" fontId="18" fillId="22" borderId="26" xfId="0" applyNumberFormat="1" applyFont="1" applyFill="1" applyBorder="1" applyAlignment="1" applyProtection="1">
      <alignment horizontal="right" vertical="top"/>
    </xf>
    <xf numFmtId="0" fontId="18" fillId="22" borderId="32" xfId="33" applyFont="1" applyFill="1" applyBorder="1" applyAlignment="1" applyProtection="1">
      <alignment horizontal="left" vertical="top" wrapText="1"/>
    </xf>
    <xf numFmtId="3" fontId="18" fillId="22" borderId="27" xfId="0" applyNumberFormat="1" applyFont="1" applyFill="1" applyBorder="1" applyAlignment="1" applyProtection="1">
      <alignment horizontal="right" vertical="top"/>
    </xf>
    <xf numFmtId="3" fontId="18" fillId="22" borderId="25" xfId="0" applyNumberFormat="1" applyFont="1" applyFill="1" applyBorder="1" applyAlignment="1" applyProtection="1">
      <alignment horizontal="right" vertical="top"/>
    </xf>
    <xf numFmtId="3" fontId="23" fillId="23" borderId="22" xfId="0" applyNumberFormat="1" applyFont="1" applyFill="1" applyBorder="1" applyAlignment="1" applyProtection="1">
      <alignment horizontal="right" vertical="top"/>
    </xf>
    <xf numFmtId="3" fontId="23" fillId="23" borderId="29" xfId="0" applyNumberFormat="1" applyFont="1" applyFill="1" applyBorder="1" applyAlignment="1" applyProtection="1">
      <alignment horizontal="right" vertical="top"/>
    </xf>
    <xf numFmtId="3" fontId="23" fillId="23" borderId="17" xfId="0" applyNumberFormat="1" applyFont="1" applyFill="1" applyBorder="1" applyAlignment="1" applyProtection="1">
      <alignment horizontal="right" vertical="top"/>
    </xf>
    <xf numFmtId="3" fontId="23" fillId="23" borderId="18" xfId="0" applyNumberFormat="1" applyFont="1" applyFill="1" applyBorder="1" applyAlignment="1" applyProtection="1">
      <alignment horizontal="right" vertical="top"/>
    </xf>
    <xf numFmtId="3" fontId="23" fillId="23" borderId="9" xfId="0" applyNumberFormat="1" applyFont="1" applyFill="1" applyBorder="1" applyAlignment="1" applyProtection="1">
      <alignment horizontal="right" vertical="top"/>
    </xf>
    <xf numFmtId="169" fontId="23" fillId="23" borderId="19" xfId="33" applyNumberFormat="1" applyFont="1" applyFill="1" applyBorder="1" applyAlignment="1" applyProtection="1">
      <alignment horizontal="left" vertical="top"/>
    </xf>
    <xf numFmtId="0" fontId="23" fillId="23" borderId="19" xfId="33" applyFont="1" applyFill="1" applyBorder="1" applyAlignment="1" applyProtection="1">
      <alignment vertical="top" wrapText="1"/>
    </xf>
    <xf numFmtId="3" fontId="23" fillId="23" borderId="34" xfId="0" applyNumberFormat="1" applyFont="1" applyFill="1" applyBorder="1" applyAlignment="1" applyProtection="1">
      <alignment horizontal="right" vertical="top"/>
    </xf>
    <xf numFmtId="3" fontId="23" fillId="23" borderId="35" xfId="0" applyNumberFormat="1" applyFont="1" applyFill="1" applyBorder="1" applyAlignment="1" applyProtection="1">
      <alignment horizontal="right" vertical="top"/>
    </xf>
    <xf numFmtId="3" fontId="23" fillId="23" borderId="19" xfId="0" applyNumberFormat="1" applyFont="1" applyFill="1" applyBorder="1" applyAlignment="1" applyProtection="1">
      <alignment horizontal="right" vertical="top"/>
    </xf>
    <xf numFmtId="0" fontId="23" fillId="23" borderId="28" xfId="33" applyFont="1" applyFill="1" applyBorder="1" applyAlignment="1" applyProtection="1">
      <alignment horizontal="left" vertical="top" wrapText="1"/>
    </xf>
    <xf numFmtId="0" fontId="23" fillId="23" borderId="9" xfId="33" applyFont="1" applyFill="1" applyBorder="1" applyAlignment="1" applyProtection="1">
      <alignment horizontal="left" vertical="top" wrapText="1"/>
    </xf>
    <xf numFmtId="0" fontId="23" fillId="23" borderId="19" xfId="33" applyFont="1" applyFill="1" applyBorder="1" applyAlignment="1" applyProtection="1">
      <alignment horizontal="left" vertical="top" wrapText="1"/>
    </xf>
    <xf numFmtId="169" fontId="18" fillId="22" borderId="9" xfId="33" applyNumberFormat="1" applyFont="1" applyFill="1" applyBorder="1" applyAlignment="1" applyProtection="1">
      <alignment horizontal="justify" vertical="top"/>
    </xf>
    <xf numFmtId="0" fontId="18" fillId="22" borderId="9" xfId="33" applyFont="1" applyFill="1" applyBorder="1" applyAlignment="1" applyProtection="1">
      <alignment horizontal="left" vertical="top" wrapText="1"/>
    </xf>
    <xf numFmtId="3" fontId="18" fillId="22" borderId="34" xfId="0" applyNumberFormat="1" applyFont="1" applyFill="1" applyBorder="1" applyAlignment="1" applyProtection="1">
      <alignment horizontal="right" vertical="top"/>
    </xf>
    <xf numFmtId="3" fontId="18" fillId="22" borderId="9" xfId="0" applyNumberFormat="1" applyFont="1" applyFill="1" applyBorder="1" applyAlignment="1" applyProtection="1">
      <alignment horizontal="right" vertical="top"/>
    </xf>
    <xf numFmtId="3" fontId="18" fillId="22" borderId="19" xfId="0" applyNumberFormat="1" applyFont="1" applyFill="1" applyBorder="1" applyAlignment="1" applyProtection="1">
      <alignment horizontal="right" vertical="top"/>
    </xf>
    <xf numFmtId="3" fontId="18" fillId="22" borderId="17" xfId="0" applyNumberFormat="1" applyFont="1" applyFill="1" applyBorder="1" applyAlignment="1" applyProtection="1">
      <alignment horizontal="right" vertical="top"/>
    </xf>
    <xf numFmtId="3" fontId="18" fillId="22" borderId="37" xfId="0" applyNumberFormat="1" applyFont="1" applyFill="1" applyBorder="1" applyAlignment="1" applyProtection="1">
      <alignment horizontal="right" vertical="top"/>
    </xf>
    <xf numFmtId="169" fontId="18" fillId="22" borderId="25" xfId="33" applyNumberFormat="1" applyFont="1" applyFill="1" applyBorder="1" applyAlignment="1" applyProtection="1">
      <alignment horizontal="justify" vertical="top"/>
    </xf>
    <xf numFmtId="0" fontId="18" fillId="22" borderId="25" xfId="33" applyFont="1" applyFill="1" applyBorder="1" applyAlignment="1" applyProtection="1">
      <alignment vertical="top" wrapText="1"/>
    </xf>
    <xf numFmtId="169" fontId="23" fillId="23" borderId="28" xfId="0" applyNumberFormat="1" applyFont="1" applyFill="1" applyBorder="1" applyAlignment="1" applyProtection="1">
      <alignment horizontal="left" vertical="top"/>
    </xf>
    <xf numFmtId="0" fontId="23" fillId="23" borderId="28" xfId="0" applyFont="1" applyFill="1" applyBorder="1" applyAlignment="1" applyProtection="1">
      <alignment vertical="top" wrapText="1"/>
    </xf>
    <xf numFmtId="169" fontId="24" fillId="22" borderId="32" xfId="33" applyNumberFormat="1" applyFont="1" applyFill="1" applyBorder="1" applyAlignment="1" applyProtection="1">
      <alignment horizontal="justify" vertical="top"/>
    </xf>
    <xf numFmtId="0" fontId="24" fillId="22" borderId="32" xfId="33" applyFont="1" applyFill="1" applyBorder="1" applyAlignment="1" applyProtection="1">
      <alignment horizontal="left" vertical="top" wrapText="1"/>
    </xf>
    <xf numFmtId="3" fontId="18" fillId="22" borderId="39" xfId="33" applyNumberFormat="1" applyFont="1" applyFill="1" applyBorder="1" applyAlignment="1" applyProtection="1">
      <alignment horizontal="right" vertical="top"/>
    </xf>
    <xf numFmtId="3" fontId="18" fillId="22" borderId="26" xfId="33" applyNumberFormat="1" applyFont="1" applyFill="1" applyBorder="1" applyAlignment="1" applyProtection="1">
      <alignment horizontal="right" vertical="top"/>
    </xf>
    <xf numFmtId="3" fontId="18" fillId="22" borderId="27" xfId="33" applyNumberFormat="1" applyFont="1" applyFill="1" applyBorder="1" applyAlignment="1" applyProtection="1">
      <alignment horizontal="right" vertical="top"/>
    </xf>
    <xf numFmtId="3" fontId="18" fillId="22" borderId="25" xfId="33" applyNumberFormat="1" applyFont="1" applyFill="1" applyBorder="1" applyAlignment="1" applyProtection="1">
      <alignment horizontal="right" vertical="top"/>
    </xf>
    <xf numFmtId="169" fontId="26" fillId="23" borderId="9" xfId="33" applyNumberFormat="1" applyFont="1" applyFill="1" applyBorder="1" applyAlignment="1" applyProtection="1">
      <alignment horizontal="left" vertical="top" wrapText="1"/>
    </xf>
    <xf numFmtId="169" fontId="26" fillId="23" borderId="19" xfId="33" applyNumberFormat="1" applyFont="1" applyFill="1" applyBorder="1" applyAlignment="1" applyProtection="1">
      <alignment horizontal="left" vertical="top" wrapText="1"/>
    </xf>
    <xf numFmtId="0" fontId="23" fillId="23" borderId="19" xfId="33" applyFont="1" applyFill="1" applyBorder="1" applyAlignment="1" applyProtection="1">
      <alignment horizontal="justify" vertical="top" wrapText="1"/>
    </xf>
    <xf numFmtId="3" fontId="18" fillId="26" borderId="40" xfId="0" applyNumberFormat="1" applyFont="1" applyFill="1" applyBorder="1" applyAlignment="1">
      <alignment horizontal="right" vertical="top"/>
    </xf>
    <xf numFmtId="0" fontId="0" fillId="0" borderId="11" xfId="0" applyBorder="1"/>
    <xf numFmtId="3" fontId="1" fillId="0" borderId="12" xfId="0" applyNumberFormat="1" applyFont="1" applyBorder="1"/>
    <xf numFmtId="3" fontId="0" fillId="0" borderId="12" xfId="0" applyNumberFormat="1" applyBorder="1"/>
    <xf numFmtId="0" fontId="0" fillId="0" borderId="13" xfId="0" applyBorder="1"/>
    <xf numFmtId="0" fontId="28" fillId="0" borderId="0" xfId="33" applyFont="1" applyFill="1" applyBorder="1" applyAlignment="1">
      <alignment horizontal="left"/>
    </xf>
    <xf numFmtId="3" fontId="1" fillId="0" borderId="7" xfId="33" applyNumberFormat="1" applyFont="1" applyFill="1" applyBorder="1" applyAlignment="1">
      <alignment horizontal="justify"/>
    </xf>
    <xf numFmtId="3" fontId="1" fillId="0" borderId="7" xfId="33" applyNumberFormat="1" applyFont="1" applyFill="1" applyBorder="1" applyAlignment="1">
      <alignment vertical="center"/>
    </xf>
    <xf numFmtId="3" fontId="1" fillId="0" borderId="0" xfId="33" applyNumberFormat="1" applyFont="1" applyFill="1" applyBorder="1" applyAlignment="1"/>
    <xf numFmtId="4" fontId="1" fillId="0" borderId="0" xfId="33" applyNumberFormat="1" applyFont="1" applyFill="1" applyBorder="1" applyAlignment="1"/>
    <xf numFmtId="3" fontId="1" fillId="0" borderId="23" xfId="33" applyNumberFormat="1" applyFont="1" applyFill="1" applyBorder="1" applyAlignment="1"/>
    <xf numFmtId="4" fontId="0" fillId="0" borderId="0" xfId="0" applyNumberFormat="1"/>
    <xf numFmtId="3" fontId="1" fillId="0" borderId="7" xfId="33" applyNumberFormat="1" applyFont="1" applyFill="1" applyBorder="1" applyAlignment="1"/>
    <xf numFmtId="0" fontId="16" fillId="0" borderId="14" xfId="33" applyFont="1" applyFill="1" applyBorder="1" applyAlignment="1">
      <alignment horizontal="left"/>
    </xf>
    <xf numFmtId="0" fontId="28" fillId="0" borderId="15" xfId="33" applyFont="1" applyFill="1" applyBorder="1" applyAlignment="1">
      <alignment horizontal="left"/>
    </xf>
    <xf numFmtId="3" fontId="1" fillId="0" borderId="41" xfId="33" applyNumberFormat="1" applyFont="1" applyFill="1" applyBorder="1" applyAlignment="1"/>
    <xf numFmtId="3" fontId="1" fillId="0" borderId="15" xfId="33" applyNumberFormat="1" applyFont="1" applyFill="1" applyBorder="1" applyAlignment="1"/>
    <xf numFmtId="3" fontId="1" fillId="0" borderId="39" xfId="33" applyNumberFormat="1" applyFont="1" applyFill="1" applyBorder="1" applyAlignment="1"/>
    <xf numFmtId="167" fontId="0" fillId="0" borderId="0" xfId="30" applyNumberFormat="1" applyFont="1"/>
    <xf numFmtId="0" fontId="1" fillId="0" borderId="11" xfId="0" applyFont="1" applyBorder="1"/>
    <xf numFmtId="0" fontId="1" fillId="0" borderId="12" xfId="0" applyFont="1" applyBorder="1"/>
    <xf numFmtId="0" fontId="1" fillId="0" borderId="12" xfId="0" applyFont="1" applyFill="1" applyBorder="1"/>
    <xf numFmtId="3" fontId="0" fillId="0" borderId="0" xfId="0" applyNumberFormat="1" applyBorder="1"/>
    <xf numFmtId="0" fontId="0" fillId="0" borderId="23" xfId="0" applyBorder="1"/>
    <xf numFmtId="3" fontId="1" fillId="0" borderId="13" xfId="0" applyNumberFormat="1" applyFont="1" applyBorder="1"/>
    <xf numFmtId="0" fontId="0" fillId="0" borderId="14" xfId="0" applyBorder="1" applyAlignment="1">
      <alignment horizontal="left" wrapText="1"/>
    </xf>
    <xf numFmtId="0" fontId="0" fillId="0" borderId="15" xfId="0" applyBorder="1" applyAlignment="1">
      <alignment horizontal="left" wrapText="1"/>
    </xf>
    <xf numFmtId="3" fontId="0" fillId="0" borderId="15" xfId="0" applyNumberFormat="1" applyBorder="1" applyAlignment="1">
      <alignment horizontal="left" wrapText="1"/>
    </xf>
    <xf numFmtId="3" fontId="23" fillId="23" borderId="39" xfId="0" applyNumberFormat="1" applyFont="1" applyFill="1" applyBorder="1" applyAlignment="1" applyProtection="1">
      <alignment vertical="top"/>
    </xf>
    <xf numFmtId="49" fontId="1" fillId="23" borderId="16" xfId="34" applyNumberFormat="1" applyFont="1" applyFill="1" applyBorder="1" applyAlignment="1">
      <alignment horizontal="justify" vertical="top" wrapText="1"/>
    </xf>
    <xf numFmtId="49" fontId="1" fillId="23" borderId="20" xfId="34" applyNumberFormat="1" applyFont="1" applyFill="1" applyBorder="1" applyAlignment="1">
      <alignment horizontal="left" vertical="top" wrapText="1"/>
    </xf>
    <xf numFmtId="169" fontId="1" fillId="23" borderId="7" xfId="33" applyNumberFormat="1" applyFont="1" applyFill="1" applyBorder="1" applyAlignment="1" applyProtection="1">
      <alignment horizontal="left" vertical="top"/>
    </xf>
    <xf numFmtId="0" fontId="1" fillId="23" borderId="7" xfId="39" applyFont="1" applyFill="1" applyBorder="1" applyAlignment="1">
      <alignment vertical="top" wrapText="1"/>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39" xfId="0" applyBorder="1"/>
    <xf numFmtId="0" fontId="0" fillId="0" borderId="15" xfId="0" applyBorder="1"/>
    <xf numFmtId="165" fontId="0" fillId="0" borderId="0" xfId="0" applyNumberFormat="1" applyAlignment="1">
      <alignment horizontal="right"/>
    </xf>
    <xf numFmtId="0" fontId="0" fillId="0" borderId="0" xfId="0" applyAlignment="1">
      <alignment horizontal="right"/>
    </xf>
    <xf numFmtId="0" fontId="14" fillId="29" borderId="7" xfId="34" applyNumberFormat="1" applyFont="1" applyFill="1" applyBorder="1" applyAlignment="1">
      <alignment horizontal="center" vertical="center" wrapText="1"/>
    </xf>
    <xf numFmtId="0" fontId="14" fillId="29" borderId="16" xfId="34" applyNumberFormat="1" applyFont="1" applyFill="1" applyBorder="1" applyAlignment="1">
      <alignment horizontal="center" vertical="center" wrapText="1"/>
    </xf>
    <xf numFmtId="0" fontId="2" fillId="23" borderId="7" xfId="34" applyFill="1" applyBorder="1" applyAlignment="1">
      <alignment vertical="center"/>
    </xf>
    <xf numFmtId="0" fontId="20" fillId="23" borderId="7" xfId="0" applyFont="1" applyFill="1" applyBorder="1"/>
    <xf numFmtId="0" fontId="0" fillId="27" borderId="0" xfId="0" applyFill="1" applyAlignment="1">
      <alignment horizontal="center"/>
    </xf>
    <xf numFmtId="0" fontId="0" fillId="27" borderId="0" xfId="0" applyFill="1" applyAlignment="1">
      <alignment horizontal="justify"/>
    </xf>
    <xf numFmtId="0" fontId="2" fillId="0" borderId="0" xfId="34" applyAlignment="1">
      <alignment horizontal="justify" vertical="center"/>
    </xf>
    <xf numFmtId="0" fontId="33" fillId="33" borderId="42" xfId="0" applyFont="1" applyFill="1" applyBorder="1" applyAlignment="1">
      <alignment horizontal="left"/>
    </xf>
    <xf numFmtId="0" fontId="35" fillId="34" borderId="7" xfId="0" applyFont="1" applyFill="1" applyBorder="1" applyAlignment="1">
      <alignment horizontal="center" vertical="center" wrapText="1"/>
    </xf>
    <xf numFmtId="170" fontId="37" fillId="0" borderId="7" xfId="38" applyNumberFormat="1" applyFont="1" applyBorder="1" applyAlignment="1">
      <alignment horizontal="center" vertical="top"/>
    </xf>
    <xf numFmtId="0" fontId="38" fillId="36" borderId="7" xfId="0" applyFont="1" applyFill="1" applyBorder="1" applyAlignment="1">
      <alignment horizontal="center" vertical="center" wrapText="1"/>
    </xf>
    <xf numFmtId="3" fontId="38" fillId="36" borderId="7" xfId="0" applyNumberFormat="1" applyFont="1" applyFill="1" applyBorder="1" applyAlignment="1">
      <alignment horizontal="right" vertical="center" wrapText="1"/>
    </xf>
    <xf numFmtId="3" fontId="17" fillId="36" borderId="7" xfId="0" applyNumberFormat="1" applyFont="1" applyFill="1" applyBorder="1" applyAlignment="1">
      <alignment horizontal="right" vertical="center" wrapText="1"/>
    </xf>
    <xf numFmtId="3" fontId="17" fillId="36" borderId="7" xfId="0" applyNumberFormat="1" applyFont="1" applyFill="1" applyBorder="1" applyAlignment="1">
      <alignment horizontal="center" vertical="center" wrapText="1"/>
    </xf>
    <xf numFmtId="10" fontId="17" fillId="36" borderId="7" xfId="41" applyNumberFormat="1" applyFont="1" applyFill="1" applyBorder="1" applyAlignment="1">
      <alignment horizontal="center" vertical="center" wrapText="1"/>
    </xf>
    <xf numFmtId="0" fontId="16" fillId="0" borderId="0" xfId="0" applyFont="1"/>
    <xf numFmtId="0" fontId="38" fillId="34" borderId="7" xfId="0" applyFont="1" applyFill="1" applyBorder="1" applyAlignment="1">
      <alignment horizontal="center" vertical="center" wrapText="1"/>
    </xf>
    <xf numFmtId="0" fontId="35" fillId="36" borderId="7" xfId="0" applyFont="1" applyFill="1" applyBorder="1" applyAlignment="1">
      <alignment horizontal="center" vertical="center" wrapText="1"/>
    </xf>
    <xf numFmtId="0" fontId="40" fillId="33" borderId="7" xfId="0" applyFont="1" applyFill="1" applyBorder="1" applyAlignment="1">
      <alignment horizontal="justify" vertical="center" wrapText="1"/>
    </xf>
    <xf numFmtId="3" fontId="17" fillId="33" borderId="7" xfId="0" applyNumberFormat="1" applyFont="1" applyFill="1" applyBorder="1" applyAlignment="1">
      <alignment horizontal="right" vertical="center" wrapText="1"/>
    </xf>
    <xf numFmtId="3" fontId="17" fillId="33" borderId="7" xfId="0" applyNumberFormat="1" applyFont="1" applyFill="1" applyBorder="1" applyAlignment="1">
      <alignment horizontal="center" vertical="center" wrapText="1"/>
    </xf>
    <xf numFmtId="0" fontId="16" fillId="35" borderId="7" xfId="0" applyFont="1" applyFill="1" applyBorder="1" applyAlignment="1">
      <alignment horizontal="justify" vertical="top" wrapText="1"/>
    </xf>
    <xf numFmtId="3" fontId="36" fillId="35" borderId="7" xfId="0" applyNumberFormat="1" applyFont="1" applyFill="1" applyBorder="1" applyAlignment="1">
      <alignment horizontal="center" vertical="top" wrapText="1"/>
    </xf>
    <xf numFmtId="3" fontId="38" fillId="33" borderId="7" xfId="0" applyNumberFormat="1" applyFont="1" applyFill="1" applyBorder="1" applyAlignment="1">
      <alignment horizontal="right" vertical="center" wrapText="1"/>
    </xf>
    <xf numFmtId="9" fontId="38" fillId="33" borderId="7" xfId="41" applyFont="1" applyFill="1" applyBorder="1" applyAlignment="1">
      <alignment horizontal="center" vertical="center" wrapText="1"/>
    </xf>
    <xf numFmtId="0" fontId="40" fillId="32" borderId="7" xfId="0" applyFont="1" applyFill="1" applyBorder="1" applyAlignment="1">
      <alignment horizontal="justify" vertical="center" wrapText="1"/>
    </xf>
    <xf numFmtId="3" fontId="38" fillId="32" borderId="7" xfId="0" applyNumberFormat="1" applyFont="1" applyFill="1" applyBorder="1" applyAlignment="1">
      <alignment horizontal="right" vertical="center" wrapText="1"/>
    </xf>
    <xf numFmtId="0" fontId="41" fillId="0" borderId="0" xfId="0" applyFont="1"/>
    <xf numFmtId="0" fontId="1" fillId="23" borderId="7" xfId="0" applyFont="1" applyFill="1" applyBorder="1" applyAlignment="1">
      <alignment horizontal="right" vertical="top"/>
    </xf>
    <xf numFmtId="0" fontId="0" fillId="23" borderId="7" xfId="0" applyFill="1" applyBorder="1" applyAlignment="1">
      <alignment vertical="top" wrapText="1"/>
    </xf>
    <xf numFmtId="171" fontId="1" fillId="23" borderId="7" xfId="0" applyNumberFormat="1" applyFont="1" applyFill="1" applyBorder="1" applyAlignment="1" applyProtection="1">
      <alignment horizontal="center" vertical="top" wrapText="1"/>
    </xf>
    <xf numFmtId="171" fontId="1" fillId="23" borderId="7" xfId="0" applyNumberFormat="1" applyFont="1" applyFill="1" applyBorder="1" applyAlignment="1">
      <alignment horizontal="center" vertical="top" wrapText="1"/>
    </xf>
    <xf numFmtId="0" fontId="1" fillId="23" borderId="0" xfId="0" applyFont="1" applyFill="1" applyAlignment="1">
      <alignment vertical="top" wrapText="1"/>
    </xf>
    <xf numFmtId="171" fontId="1" fillId="23" borderId="7" xfId="0" applyNumberFormat="1" applyFont="1" applyFill="1" applyBorder="1" applyAlignment="1" applyProtection="1">
      <alignment horizontal="right" vertical="top" wrapText="1"/>
    </xf>
    <xf numFmtId="1" fontId="42" fillId="23" borderId="7" xfId="0" applyNumberFormat="1" applyFont="1" applyFill="1" applyBorder="1" applyAlignment="1">
      <alignment horizontal="center" vertical="top" wrapText="1"/>
    </xf>
    <xf numFmtId="0" fontId="1" fillId="23" borderId="7" xfId="0" applyFont="1" applyFill="1" applyBorder="1" applyAlignment="1">
      <alignment horizontal="left" vertical="top" wrapText="1"/>
    </xf>
    <xf numFmtId="0" fontId="15" fillId="23" borderId="7" xfId="34" applyFont="1" applyFill="1" applyBorder="1" applyAlignment="1">
      <alignment horizontal="left" vertical="top" wrapText="1"/>
    </xf>
    <xf numFmtId="0" fontId="1" fillId="23" borderId="7" xfId="34" applyFont="1" applyFill="1" applyBorder="1" applyAlignment="1">
      <alignment horizontal="center" vertical="top"/>
    </xf>
    <xf numFmtId="0" fontId="15" fillId="23" borderId="16" xfId="34" applyFont="1" applyFill="1" applyBorder="1" applyAlignment="1">
      <alignment horizontal="center" vertical="top" wrapText="1"/>
    </xf>
    <xf numFmtId="0" fontId="15" fillId="23" borderId="7" xfId="34" applyFont="1" applyFill="1" applyBorder="1" applyAlignment="1">
      <alignment vertical="top" wrapText="1"/>
    </xf>
    <xf numFmtId="0" fontId="15" fillId="23" borderId="16" xfId="34" applyFont="1" applyFill="1" applyBorder="1" applyAlignment="1">
      <alignment horizontal="justify" vertical="top" wrapText="1"/>
    </xf>
    <xf numFmtId="0" fontId="2" fillId="23" borderId="7" xfId="34" applyFill="1" applyBorder="1" applyAlignment="1">
      <alignment horizontal="justify" vertical="top"/>
    </xf>
    <xf numFmtId="0" fontId="15" fillId="23" borderId="7" xfId="34" applyFont="1" applyFill="1" applyBorder="1" applyAlignment="1">
      <alignment horizontal="justify" vertical="top" wrapText="1"/>
    </xf>
    <xf numFmtId="0" fontId="15" fillId="23" borderId="7" xfId="34" applyFont="1" applyFill="1" applyBorder="1" applyAlignment="1">
      <alignment horizontal="center" vertical="top" wrapText="1"/>
    </xf>
    <xf numFmtId="167" fontId="1" fillId="23" borderId="7" xfId="30" applyNumberFormat="1" applyFont="1" applyFill="1" applyBorder="1" applyAlignment="1">
      <alignment horizontal="right" vertical="top" wrapText="1"/>
    </xf>
    <xf numFmtId="0" fontId="1" fillId="23" borderId="7" xfId="34" applyFont="1" applyFill="1" applyBorder="1" applyAlignment="1">
      <alignment vertical="top" wrapText="1"/>
    </xf>
    <xf numFmtId="49" fontId="1" fillId="23" borderId="7" xfId="33" applyNumberFormat="1" applyFont="1" applyFill="1" applyBorder="1" applyAlignment="1">
      <alignment horizontal="justify" vertical="top" wrapText="1"/>
    </xf>
    <xf numFmtId="49" fontId="1" fillId="23" borderId="7" xfId="33" applyNumberFormat="1" applyFont="1" applyFill="1" applyBorder="1" applyAlignment="1">
      <alignment horizontal="center" vertical="top" wrapText="1"/>
    </xf>
    <xf numFmtId="0" fontId="1" fillId="23" borderId="7" xfId="0" applyFont="1" applyFill="1" applyBorder="1" applyAlignment="1">
      <alignment horizontal="center" vertical="top" wrapText="1"/>
    </xf>
    <xf numFmtId="3" fontId="1" fillId="23" borderId="7" xfId="0" applyNumberFormat="1" applyFont="1" applyFill="1" applyBorder="1" applyAlignment="1">
      <alignment horizontal="right" vertical="top"/>
    </xf>
    <xf numFmtId="0" fontId="1" fillId="23" borderId="16" xfId="0" applyFont="1" applyFill="1" applyBorder="1" applyAlignment="1" applyProtection="1">
      <alignment horizontal="justify" vertical="top"/>
      <protection locked="0"/>
    </xf>
    <xf numFmtId="166" fontId="1" fillId="23" borderId="7" xfId="0" applyNumberFormat="1" applyFont="1" applyFill="1" applyBorder="1" applyAlignment="1">
      <alignment horizontal="center" vertical="top" wrapText="1"/>
    </xf>
    <xf numFmtId="5" fontId="1" fillId="23" borderId="7" xfId="30" applyNumberFormat="1" applyFont="1" applyFill="1" applyBorder="1" applyAlignment="1">
      <alignment horizontal="justify" vertical="top" wrapText="1"/>
    </xf>
    <xf numFmtId="14" fontId="1" fillId="23" borderId="16" xfId="0" applyNumberFormat="1" applyFont="1" applyFill="1" applyBorder="1" applyAlignment="1">
      <alignment horizontal="justify" vertical="top" wrapText="1"/>
    </xf>
    <xf numFmtId="0" fontId="1" fillId="23" borderId="7" xfId="0" applyFont="1" applyFill="1" applyBorder="1" applyAlignment="1">
      <alignment horizontal="justify" vertical="top"/>
    </xf>
    <xf numFmtId="0" fontId="1" fillId="23" borderId="7" xfId="0" applyFont="1" applyFill="1" applyBorder="1" applyAlignment="1">
      <alignment vertical="top"/>
    </xf>
    <xf numFmtId="167" fontId="1" fillId="23" borderId="7" xfId="30" applyNumberFormat="1" applyFont="1" applyFill="1" applyBorder="1" applyAlignment="1">
      <alignment vertical="top"/>
    </xf>
    <xf numFmtId="0" fontId="1" fillId="23" borderId="7" xfId="0" applyFont="1" applyFill="1" applyBorder="1" applyAlignment="1">
      <alignment vertical="top" wrapText="1"/>
    </xf>
    <xf numFmtId="166" fontId="1" fillId="23" borderId="7" xfId="34" applyNumberFormat="1" applyFont="1" applyFill="1" applyBorder="1" applyAlignment="1">
      <alignment horizontal="center" vertical="top" wrapText="1"/>
    </xf>
    <xf numFmtId="0" fontId="1" fillId="23" borderId="7" xfId="34" applyFont="1" applyFill="1" applyBorder="1" applyAlignment="1">
      <alignment horizontal="center" vertical="top" wrapText="1"/>
    </xf>
    <xf numFmtId="14" fontId="1" fillId="23" borderId="20" xfId="0" applyNumberFormat="1" applyFont="1" applyFill="1" applyBorder="1" applyAlignment="1">
      <alignment horizontal="left" vertical="center" wrapText="1"/>
    </xf>
    <xf numFmtId="0" fontId="1" fillId="23" borderId="16" xfId="0" applyFont="1" applyFill="1" applyBorder="1" applyAlignment="1">
      <alignment horizontal="justify" vertical="top" wrapText="1"/>
    </xf>
    <xf numFmtId="0" fontId="1" fillId="23" borderId="7" xfId="0" applyFont="1" applyFill="1" applyBorder="1"/>
    <xf numFmtId="0" fontId="1" fillId="23" borderId="0" xfId="0" applyFont="1" applyFill="1"/>
    <xf numFmtId="0" fontId="1" fillId="23" borderId="7" xfId="0" applyNumberFormat="1" applyFont="1" applyFill="1" applyBorder="1" applyAlignment="1">
      <alignment horizontal="center" vertical="top"/>
    </xf>
    <xf numFmtId="3" fontId="1" fillId="23" borderId="7" xfId="34" applyNumberFormat="1" applyFont="1" applyFill="1" applyBorder="1" applyAlignment="1">
      <alignment horizontal="justify" vertical="top" wrapText="1"/>
    </xf>
    <xf numFmtId="0" fontId="1" fillId="23" borderId="0" xfId="0" applyFont="1" applyFill="1" applyAlignment="1">
      <alignment vertical="top"/>
    </xf>
    <xf numFmtId="0" fontId="1" fillId="23" borderId="7" xfId="0" applyNumberFormat="1" applyFont="1" applyFill="1" applyBorder="1" applyAlignment="1">
      <alignment horizontal="center" vertical="top" wrapText="1"/>
    </xf>
    <xf numFmtId="165" fontId="1" fillId="23" borderId="16" xfId="34" applyNumberFormat="1" applyFont="1" applyFill="1" applyBorder="1" applyAlignment="1">
      <alignment horizontal="justify" vertical="top" wrapText="1"/>
    </xf>
    <xf numFmtId="170" fontId="37" fillId="23" borderId="7" xfId="38" applyNumberFormat="1" applyFont="1" applyFill="1" applyBorder="1" applyAlignment="1">
      <alignment horizontal="center" vertical="top"/>
    </xf>
    <xf numFmtId="5" fontId="1" fillId="23" borderId="7" xfId="30" applyNumberFormat="1" applyFont="1" applyFill="1" applyBorder="1" applyAlignment="1">
      <alignment horizontal="left" vertical="top" wrapText="1"/>
    </xf>
    <xf numFmtId="9" fontId="17" fillId="36" borderId="7" xfId="41" applyNumberFormat="1" applyFont="1" applyFill="1" applyBorder="1" applyAlignment="1">
      <alignment horizontal="center" vertical="center" wrapText="1"/>
    </xf>
    <xf numFmtId="49" fontId="1" fillId="23" borderId="7" xfId="34" applyNumberFormat="1" applyFont="1" applyFill="1" applyBorder="1" applyAlignment="1">
      <alignment horizontal="right" vertical="top" wrapText="1"/>
    </xf>
    <xf numFmtId="0" fontId="1" fillId="23" borderId="7" xfId="34" applyFont="1" applyFill="1" applyBorder="1" applyAlignment="1">
      <alignment horizontal="right" vertical="top" wrapText="1"/>
    </xf>
    <xf numFmtId="0" fontId="0" fillId="23" borderId="7" xfId="0" applyFill="1" applyBorder="1" applyAlignment="1">
      <alignment horizontal="center" vertical="top"/>
    </xf>
    <xf numFmtId="0" fontId="0" fillId="23" borderId="7" xfId="0" applyNumberFormat="1" applyFill="1" applyBorder="1" applyAlignment="1">
      <alignment horizontal="center" vertical="top"/>
    </xf>
    <xf numFmtId="0" fontId="1" fillId="23" borderId="7" xfId="0" applyNumberFormat="1" applyFont="1" applyFill="1" applyBorder="1" applyAlignment="1">
      <alignment vertical="top" wrapText="1"/>
    </xf>
    <xf numFmtId="0" fontId="0" fillId="23" borderId="7" xfId="0" applyFill="1" applyBorder="1" applyAlignment="1">
      <alignment vertical="top"/>
    </xf>
    <xf numFmtId="0" fontId="1" fillId="23" borderId="7" xfId="0" applyFont="1" applyFill="1" applyBorder="1" applyAlignment="1">
      <alignment horizontal="right" vertical="top" wrapText="1"/>
    </xf>
    <xf numFmtId="0" fontId="15" fillId="23" borderId="16" xfId="34" applyFont="1" applyFill="1" applyBorder="1" applyAlignment="1">
      <alignment horizontal="center" vertical="center"/>
    </xf>
    <xf numFmtId="0" fontId="2" fillId="23" borderId="7" xfId="34" applyFill="1" applyBorder="1" applyAlignment="1">
      <alignment vertical="top"/>
    </xf>
    <xf numFmtId="14" fontId="1" fillId="23" borderId="7" xfId="0" applyNumberFormat="1" applyFont="1" applyFill="1" applyBorder="1" applyAlignment="1">
      <alignment vertical="top"/>
    </xf>
    <xf numFmtId="0" fontId="30" fillId="23" borderId="7" xfId="34" applyFont="1" applyFill="1" applyBorder="1" applyAlignment="1">
      <alignment vertical="center"/>
    </xf>
    <xf numFmtId="0" fontId="30" fillId="23" borderId="0" xfId="34" applyFont="1" applyFill="1" applyAlignment="1">
      <alignment vertical="center"/>
    </xf>
    <xf numFmtId="0" fontId="1" fillId="23" borderId="0" xfId="0" applyFont="1" applyFill="1" applyAlignment="1">
      <alignment vertical="center"/>
    </xf>
    <xf numFmtId="0" fontId="1" fillId="23" borderId="20" xfId="0" applyFont="1" applyFill="1" applyBorder="1" applyAlignment="1">
      <alignment horizontal="center" vertical="top" wrapText="1"/>
    </xf>
    <xf numFmtId="0" fontId="15" fillId="23" borderId="20" xfId="34" applyFont="1" applyFill="1" applyBorder="1" applyAlignment="1">
      <alignment horizontal="left" vertical="top" wrapText="1"/>
    </xf>
    <xf numFmtId="169" fontId="1" fillId="23" borderId="7" xfId="33" applyNumberFormat="1" applyFont="1" applyFill="1" applyBorder="1" applyAlignment="1" applyProtection="1">
      <alignment horizontal="right" vertical="top"/>
    </xf>
    <xf numFmtId="0" fontId="2" fillId="23" borderId="0" xfId="34" applyFill="1" applyAlignment="1">
      <alignment horizontal="justify" vertical="center"/>
    </xf>
    <xf numFmtId="0" fontId="1" fillId="23" borderId="20" xfId="34" applyFont="1" applyFill="1" applyBorder="1" applyAlignment="1">
      <alignment horizontal="left" vertical="top" wrapText="1"/>
    </xf>
    <xf numFmtId="3" fontId="1" fillId="23" borderId="7" xfId="34" applyNumberFormat="1" applyFont="1" applyFill="1" applyBorder="1" applyAlignment="1">
      <alignment vertical="top" wrapText="1"/>
    </xf>
    <xf numFmtId="0" fontId="22" fillId="23" borderId="7" xfId="34" applyFont="1" applyFill="1" applyBorder="1" applyAlignment="1">
      <alignment vertical="center"/>
    </xf>
    <xf numFmtId="0" fontId="22" fillId="23" borderId="0" xfId="34" applyFont="1" applyFill="1" applyAlignment="1">
      <alignment vertical="center"/>
    </xf>
    <xf numFmtId="0" fontId="20" fillId="23" borderId="0" xfId="0" applyFont="1" applyFill="1" applyAlignment="1">
      <alignment vertical="center"/>
    </xf>
    <xf numFmtId="167" fontId="1" fillId="23" borderId="7" xfId="30" applyNumberFormat="1" applyFont="1" applyFill="1" applyBorder="1" applyAlignment="1">
      <alignment horizontal="justify" vertical="top" wrapText="1"/>
    </xf>
    <xf numFmtId="0" fontId="30" fillId="23" borderId="7" xfId="34" applyFont="1" applyFill="1" applyBorder="1" applyAlignment="1">
      <alignment horizontal="justify" vertical="top"/>
    </xf>
    <xf numFmtId="14" fontId="1" fillId="23" borderId="16" xfId="0" applyNumberFormat="1" applyFont="1" applyFill="1" applyBorder="1" applyAlignment="1">
      <alignment horizontal="left" vertical="top" wrapText="1"/>
    </xf>
    <xf numFmtId="5" fontId="1" fillId="23" borderId="16" xfId="30" applyNumberFormat="1" applyFont="1" applyFill="1" applyBorder="1" applyAlignment="1">
      <alignment horizontal="left" vertical="top" wrapText="1"/>
    </xf>
    <xf numFmtId="0" fontId="32" fillId="23" borderId="7" xfId="0" applyFont="1" applyFill="1" applyBorder="1" applyAlignment="1">
      <alignment horizontal="justify" vertical="top" wrapText="1"/>
    </xf>
    <xf numFmtId="14" fontId="1" fillId="23" borderId="20" xfId="0" applyNumberFormat="1" applyFont="1" applyFill="1" applyBorder="1" applyAlignment="1">
      <alignment horizontal="left" vertical="top" wrapText="1"/>
    </xf>
    <xf numFmtId="0" fontId="37" fillId="0" borderId="0" xfId="0" applyFont="1" applyBorder="1" applyAlignment="1">
      <alignment horizontal="center" vertical="center" wrapText="1"/>
    </xf>
    <xf numFmtId="1" fontId="37" fillId="0" borderId="36" xfId="30" applyNumberFormat="1" applyFont="1" applyFill="1" applyBorder="1" applyAlignment="1">
      <alignment horizontal="right" vertical="center" wrapText="1"/>
    </xf>
    <xf numFmtId="1" fontId="37" fillId="0" borderId="46" xfId="30" applyNumberFormat="1" applyFont="1" applyFill="1" applyBorder="1" applyAlignment="1">
      <alignment horizontal="right" vertical="center" wrapText="1"/>
    </xf>
    <xf numFmtId="49" fontId="37" fillId="0" borderId="0" xfId="0" applyNumberFormat="1" applyFont="1" applyBorder="1" applyAlignment="1">
      <alignment horizontal="center" vertical="center" wrapText="1"/>
    </xf>
    <xf numFmtId="14" fontId="37" fillId="0" borderId="0" xfId="0" applyNumberFormat="1" applyFont="1" applyBorder="1" applyAlignment="1">
      <alignment horizontal="center" vertical="center" wrapText="1"/>
    </xf>
    <xf numFmtId="0" fontId="37" fillId="0" borderId="0" xfId="0" applyFont="1" applyFill="1" applyBorder="1" applyAlignment="1">
      <alignment horizontal="center" vertical="center" wrapText="1"/>
    </xf>
    <xf numFmtId="1" fontId="37" fillId="0" borderId="0" xfId="0" applyNumberFormat="1" applyFont="1" applyFill="1" applyBorder="1" applyAlignment="1">
      <alignment horizontal="center" vertical="center" wrapText="1"/>
    </xf>
    <xf numFmtId="168" fontId="37" fillId="0" borderId="0" xfId="0" applyNumberFormat="1" applyFont="1" applyFill="1" applyBorder="1" applyAlignment="1">
      <alignment horizontal="center" vertical="center" wrapText="1"/>
    </xf>
    <xf numFmtId="0" fontId="37" fillId="24" borderId="0" xfId="0" applyFont="1" applyFill="1" applyBorder="1" applyAlignment="1">
      <alignment horizontal="center" vertical="center" wrapText="1"/>
    </xf>
    <xf numFmtId="3" fontId="37" fillId="24" borderId="0" xfId="0" applyNumberFormat="1" applyFont="1" applyFill="1" applyBorder="1" applyAlignment="1">
      <alignment horizontal="center" vertical="center" wrapText="1"/>
    </xf>
    <xf numFmtId="0" fontId="37" fillId="24" borderId="0" xfId="0" applyFont="1" applyFill="1" applyBorder="1" applyAlignment="1">
      <alignment horizontal="right" vertical="center" wrapText="1"/>
    </xf>
    <xf numFmtId="0" fontId="37" fillId="38" borderId="0" xfId="0" applyFont="1" applyFill="1" applyBorder="1" applyAlignment="1">
      <alignment horizontal="center" vertical="center" wrapText="1"/>
    </xf>
    <xf numFmtId="167" fontId="37" fillId="38" borderId="0" xfId="30" applyNumberFormat="1" applyFont="1" applyFill="1" applyBorder="1" applyAlignment="1">
      <alignment horizontal="center" vertical="center" wrapText="1"/>
    </xf>
    <xf numFmtId="0" fontId="37" fillId="0" borderId="0" xfId="0" applyNumberFormat="1" applyFont="1" applyBorder="1" applyAlignment="1">
      <alignment horizontal="center" vertical="center" wrapText="1"/>
    </xf>
    <xf numFmtId="172" fontId="37" fillId="0" borderId="0" xfId="0" applyNumberFormat="1" applyFont="1" applyBorder="1" applyAlignment="1">
      <alignment horizontal="right" vertical="center" wrapText="1"/>
    </xf>
    <xf numFmtId="167" fontId="37" fillId="0" borderId="0" xfId="30" applyNumberFormat="1" applyFont="1" applyBorder="1" applyAlignment="1">
      <alignment horizontal="center" vertical="center" wrapText="1"/>
    </xf>
    <xf numFmtId="1" fontId="37" fillId="0" borderId="0" xfId="30" applyNumberFormat="1" applyFont="1" applyFill="1" applyBorder="1" applyAlignment="1">
      <alignment horizontal="right" vertical="center" wrapText="1"/>
    </xf>
    <xf numFmtId="1" fontId="37" fillId="0" borderId="47" xfId="30" applyNumberFormat="1" applyFont="1" applyFill="1" applyBorder="1" applyAlignment="1">
      <alignment horizontal="right" vertical="center" wrapText="1"/>
    </xf>
    <xf numFmtId="173" fontId="37" fillId="24" borderId="0" xfId="0" applyNumberFormat="1" applyFont="1" applyFill="1" applyBorder="1" applyAlignment="1">
      <alignment horizontal="right" vertical="center" wrapText="1"/>
    </xf>
    <xf numFmtId="0" fontId="17" fillId="39" borderId="43" xfId="0" applyFont="1" applyFill="1" applyBorder="1" applyAlignment="1">
      <alignment horizontal="center" vertical="center" wrapText="1"/>
    </xf>
    <xf numFmtId="14" fontId="17" fillId="39" borderId="43" xfId="0" applyNumberFormat="1" applyFont="1" applyFill="1" applyBorder="1" applyAlignment="1">
      <alignment horizontal="center" vertical="center" wrapText="1"/>
    </xf>
    <xf numFmtId="167" fontId="17" fillId="39" borderId="43" xfId="30" applyNumberFormat="1" applyFont="1" applyFill="1" applyBorder="1" applyAlignment="1">
      <alignment horizontal="center" vertical="center" wrapText="1"/>
    </xf>
    <xf numFmtId="0" fontId="17" fillId="37" borderId="16" xfId="0" applyFont="1" applyFill="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7" fillId="37" borderId="43" xfId="0" applyFont="1" applyFill="1" applyBorder="1" applyAlignment="1" applyProtection="1">
      <alignment horizontal="center" vertical="center" wrapText="1"/>
      <protection locked="0"/>
    </xf>
    <xf numFmtId="1" fontId="17" fillId="45" borderId="43" xfId="30" applyNumberFormat="1" applyFont="1" applyFill="1" applyBorder="1" applyAlignment="1">
      <alignment horizontal="center" vertical="center" wrapText="1"/>
    </xf>
    <xf numFmtId="1" fontId="17" fillId="25" borderId="43" xfId="30" applyNumberFormat="1" applyFont="1" applyFill="1" applyBorder="1" applyAlignment="1">
      <alignment horizontal="center" vertical="center" wrapText="1"/>
    </xf>
    <xf numFmtId="0" fontId="17" fillId="25" borderId="43" xfId="0" applyFont="1" applyFill="1" applyBorder="1" applyAlignment="1">
      <alignment horizontal="center" vertical="center" wrapText="1"/>
    </xf>
    <xf numFmtId="0" fontId="17" fillId="43" borderId="43" xfId="0" applyFont="1" applyFill="1" applyBorder="1" applyAlignment="1">
      <alignment horizontal="center" vertical="center" wrapText="1"/>
    </xf>
    <xf numFmtId="14" fontId="17" fillId="43" borderId="43" xfId="0" applyNumberFormat="1" applyFont="1" applyFill="1" applyBorder="1" applyAlignment="1">
      <alignment horizontal="center" vertical="center" wrapText="1"/>
    </xf>
    <xf numFmtId="49" fontId="17" fillId="39" borderId="43" xfId="0" applyNumberFormat="1" applyFont="1" applyFill="1" applyBorder="1" applyAlignment="1">
      <alignment horizontal="center" vertical="center" wrapText="1"/>
    </xf>
    <xf numFmtId="0" fontId="17" fillId="43" borderId="43" xfId="0" applyFont="1" applyFill="1" applyBorder="1" applyAlignment="1" applyProtection="1">
      <alignment horizontal="center" vertical="center" wrapText="1"/>
      <protection locked="0"/>
    </xf>
    <xf numFmtId="0" fontId="17" fillId="39" borderId="43" xfId="0" applyFont="1" applyFill="1" applyBorder="1" applyAlignment="1" applyProtection="1">
      <alignment horizontal="center" vertical="center" wrapText="1"/>
      <protection locked="0"/>
    </xf>
    <xf numFmtId="3" fontId="17" fillId="43" borderId="43" xfId="0" applyNumberFormat="1" applyFont="1" applyFill="1" applyBorder="1" applyAlignment="1">
      <alignment horizontal="center" vertical="center" wrapText="1"/>
    </xf>
    <xf numFmtId="0" fontId="17" fillId="37" borderId="43" xfId="0" applyFont="1" applyFill="1" applyBorder="1" applyAlignment="1">
      <alignment horizontal="center" vertical="center" wrapText="1"/>
    </xf>
    <xf numFmtId="0" fontId="1" fillId="23" borderId="43" xfId="0" applyNumberFormat="1" applyFont="1" applyFill="1" applyBorder="1" applyAlignment="1" applyProtection="1">
      <alignment horizontal="center" vertical="top" wrapText="1"/>
    </xf>
    <xf numFmtId="0" fontId="1" fillId="23" borderId="7" xfId="0" applyFont="1" applyFill="1" applyBorder="1" applyAlignment="1" applyProtection="1">
      <alignment horizontal="left" vertical="top" wrapText="1"/>
    </xf>
    <xf numFmtId="0" fontId="1" fillId="23" borderId="7" xfId="0" applyNumberFormat="1" applyFont="1" applyFill="1" applyBorder="1" applyAlignment="1" applyProtection="1">
      <alignment horizontal="center" vertical="top" wrapText="1"/>
    </xf>
    <xf numFmtId="0" fontId="1" fillId="23" borderId="43" xfId="0" applyFont="1" applyFill="1" applyBorder="1" applyAlignment="1">
      <alignment horizontal="justify" vertical="top" wrapText="1"/>
    </xf>
    <xf numFmtId="0" fontId="1" fillId="23" borderId="43" xfId="0" applyFont="1" applyFill="1" applyBorder="1" applyAlignment="1" applyProtection="1">
      <alignment horizontal="justify" vertical="top"/>
      <protection locked="0"/>
    </xf>
    <xf numFmtId="0" fontId="0" fillId="23" borderId="7" xfId="0" applyFill="1" applyBorder="1" applyAlignment="1">
      <alignment horizontal="justify" vertical="top"/>
    </xf>
    <xf numFmtId="167" fontId="1" fillId="23" borderId="43" xfId="30" applyNumberFormat="1" applyFont="1" applyFill="1" applyBorder="1" applyAlignment="1" applyProtection="1">
      <alignment horizontal="right" vertical="top" wrapText="1"/>
    </xf>
    <xf numFmtId="1" fontId="1" fillId="23" borderId="43" xfId="30" applyNumberFormat="1" applyFont="1" applyFill="1" applyBorder="1" applyAlignment="1">
      <alignment vertical="top"/>
    </xf>
    <xf numFmtId="1" fontId="1" fillId="23" borderId="43" xfId="30" applyNumberFormat="1" applyFont="1" applyFill="1" applyBorder="1" applyAlignment="1" applyProtection="1">
      <alignment horizontal="center" vertical="top" wrapText="1"/>
    </xf>
    <xf numFmtId="0" fontId="1" fillId="23" borderId="43" xfId="0" applyFont="1" applyFill="1" applyBorder="1" applyAlignment="1">
      <alignment vertical="top" wrapText="1"/>
    </xf>
    <xf numFmtId="0" fontId="1" fillId="23" borderId="43" xfId="0" applyFont="1" applyFill="1" applyBorder="1" applyAlignment="1">
      <alignment horizontal="justify" vertical="top"/>
    </xf>
    <xf numFmtId="0" fontId="1" fillId="23" borderId="43" xfId="0" applyNumberFormat="1" applyFont="1" applyFill="1" applyBorder="1" applyAlignment="1">
      <alignment horizontal="justify" vertical="top" wrapText="1"/>
    </xf>
    <xf numFmtId="0" fontId="1" fillId="23" borderId="43" xfId="0" applyFont="1" applyFill="1" applyBorder="1" applyAlignment="1" applyProtection="1">
      <alignment vertical="top" wrapText="1"/>
      <protection locked="0"/>
    </xf>
    <xf numFmtId="0" fontId="1" fillId="23" borderId="43" xfId="0" applyFont="1" applyFill="1" applyBorder="1" applyAlignment="1" applyProtection="1">
      <alignment horizontal="center" vertical="top" wrapText="1"/>
      <protection locked="0"/>
    </xf>
    <xf numFmtId="1" fontId="1" fillId="23" borderId="43" xfId="30" applyNumberFormat="1" applyFont="1" applyFill="1" applyBorder="1" applyAlignment="1" applyProtection="1">
      <alignment horizontal="justify" vertical="top" wrapText="1"/>
    </xf>
    <xf numFmtId="14" fontId="1" fillId="23" borderId="43" xfId="30" applyNumberFormat="1" applyFont="1" applyFill="1" applyBorder="1" applyAlignment="1" applyProtection="1">
      <alignment horizontal="center" vertical="top" wrapText="1"/>
    </xf>
    <xf numFmtId="167" fontId="1" fillId="23" borderId="43" xfId="30" applyNumberFormat="1" applyFont="1" applyFill="1" applyBorder="1" applyAlignment="1" applyProtection="1">
      <alignment horizontal="center" vertical="top" wrapText="1"/>
    </xf>
    <xf numFmtId="1" fontId="1" fillId="23" borderId="43" xfId="30" applyNumberFormat="1" applyFont="1" applyFill="1" applyBorder="1" applyAlignment="1" applyProtection="1">
      <alignment horizontal="right" vertical="top" wrapText="1"/>
    </xf>
    <xf numFmtId="0" fontId="43" fillId="23" borderId="43" xfId="0" applyFont="1" applyFill="1" applyBorder="1" applyAlignment="1">
      <alignment vertical="top" wrapText="1"/>
    </xf>
    <xf numFmtId="0" fontId="1" fillId="23" borderId="43" xfId="0" applyFont="1" applyFill="1" applyBorder="1" applyAlignment="1">
      <alignment horizontal="center" vertical="top" wrapText="1"/>
    </xf>
    <xf numFmtId="0" fontId="1" fillId="23" borderId="43" xfId="0" applyFont="1" applyFill="1" applyBorder="1" applyAlignment="1">
      <alignment horizontal="left" vertical="top" wrapText="1"/>
    </xf>
    <xf numFmtId="0" fontId="1" fillId="23" borderId="7" xfId="0" applyFont="1" applyFill="1" applyBorder="1" applyAlignment="1" applyProtection="1">
      <alignment vertical="top" wrapText="1"/>
      <protection locked="0"/>
    </xf>
    <xf numFmtId="171" fontId="37" fillId="23" borderId="7" xfId="0" applyNumberFormat="1" applyFont="1" applyFill="1" applyBorder="1" applyAlignment="1" applyProtection="1">
      <alignment horizontal="center" vertical="top" wrapText="1"/>
    </xf>
    <xf numFmtId="3" fontId="1" fillId="23" borderId="7" xfId="0" applyNumberFormat="1" applyFont="1" applyFill="1" applyBorder="1" applyAlignment="1">
      <alignment horizontal="right" vertical="top" wrapText="1"/>
    </xf>
    <xf numFmtId="173" fontId="14" fillId="23" borderId="7" xfId="0" applyNumberFormat="1" applyFont="1" applyFill="1" applyBorder="1" applyAlignment="1">
      <alignment horizontal="right" vertical="top" wrapText="1"/>
    </xf>
    <xf numFmtId="173" fontId="1" fillId="23" borderId="7" xfId="0" applyNumberFormat="1" applyFont="1" applyFill="1" applyBorder="1" applyAlignment="1">
      <alignment horizontal="right" vertical="top" wrapText="1"/>
    </xf>
    <xf numFmtId="172" fontId="1" fillId="23" borderId="7" xfId="0" applyNumberFormat="1" applyFont="1" applyFill="1" applyBorder="1" applyAlignment="1">
      <alignment horizontal="right" vertical="top"/>
    </xf>
    <xf numFmtId="0" fontId="1" fillId="23" borderId="0" xfId="0" applyFont="1" applyFill="1" applyBorder="1" applyAlignment="1">
      <alignment vertical="top"/>
    </xf>
    <xf numFmtId="167" fontId="1" fillId="23" borderId="7" xfId="30" applyNumberFormat="1" applyFont="1" applyFill="1" applyBorder="1" applyAlignment="1" applyProtection="1">
      <alignment horizontal="right" vertical="top" wrapText="1"/>
    </xf>
    <xf numFmtId="0" fontId="1" fillId="23" borderId="7" xfId="0" applyFont="1" applyFill="1" applyBorder="1" applyAlignment="1" applyProtection="1">
      <alignment horizontal="right" vertical="top"/>
      <protection locked="0"/>
    </xf>
    <xf numFmtId="1" fontId="1" fillId="23" borderId="7" xfId="30" applyNumberFormat="1" applyFont="1" applyFill="1" applyBorder="1" applyAlignment="1" applyProtection="1">
      <alignment horizontal="center" vertical="top" wrapText="1"/>
    </xf>
    <xf numFmtId="0" fontId="1" fillId="23" borderId="7" xfId="0" applyNumberFormat="1" applyFont="1" applyFill="1" applyBorder="1" applyAlignment="1">
      <alignment horizontal="justify" vertical="top" wrapText="1"/>
    </xf>
    <xf numFmtId="0" fontId="1" fillId="23" borderId="7" xfId="0" applyFont="1" applyFill="1" applyBorder="1" applyAlignment="1" applyProtection="1">
      <alignment horizontal="center" vertical="top" wrapText="1"/>
      <protection locked="0"/>
    </xf>
    <xf numFmtId="14" fontId="1" fillId="23" borderId="7" xfId="30" applyNumberFormat="1" applyFont="1" applyFill="1" applyBorder="1" applyAlignment="1" applyProtection="1">
      <alignment horizontal="center" vertical="top" wrapText="1"/>
    </xf>
    <xf numFmtId="167" fontId="1" fillId="23" borderId="7" xfId="30" applyNumberFormat="1" applyFont="1" applyFill="1" applyBorder="1" applyAlignment="1" applyProtection="1">
      <alignment horizontal="center" vertical="top" wrapText="1"/>
    </xf>
    <xf numFmtId="1" fontId="1" fillId="23" borderId="7" xfId="30" applyNumberFormat="1" applyFont="1" applyFill="1" applyBorder="1" applyAlignment="1" applyProtection="1">
      <alignment horizontal="right" vertical="top" wrapText="1"/>
    </xf>
    <xf numFmtId="171" fontId="1" fillId="23" borderId="7" xfId="0" applyNumberFormat="1" applyFont="1" applyFill="1" applyBorder="1" applyAlignment="1" applyProtection="1">
      <alignment horizontal="left" vertical="top" wrapText="1"/>
    </xf>
    <xf numFmtId="0" fontId="20" fillId="23" borderId="0" xfId="0" applyFont="1" applyFill="1" applyBorder="1" applyAlignment="1">
      <alignment vertical="top"/>
    </xf>
    <xf numFmtId="1" fontId="1" fillId="23" borderId="7" xfId="30" applyNumberFormat="1" applyFont="1" applyFill="1" applyBorder="1" applyAlignment="1">
      <alignment vertical="top"/>
    </xf>
    <xf numFmtId="167" fontId="1" fillId="23" borderId="7" xfId="30" applyNumberFormat="1" applyFont="1" applyFill="1" applyBorder="1" applyAlignment="1">
      <alignment vertical="top" wrapText="1"/>
    </xf>
    <xf numFmtId="167" fontId="20" fillId="23" borderId="7" xfId="30" applyNumberFormat="1" applyFont="1" applyFill="1" applyBorder="1" applyAlignment="1">
      <alignment vertical="top" wrapText="1"/>
    </xf>
    <xf numFmtId="0" fontId="1" fillId="23" borderId="16" xfId="0" applyNumberFormat="1" applyFont="1" applyFill="1" applyBorder="1" applyAlignment="1" applyProtection="1">
      <alignment horizontal="center" vertical="top" wrapText="1"/>
    </xf>
    <xf numFmtId="49" fontId="1" fillId="23" borderId="7" xfId="0" applyNumberFormat="1" applyFont="1" applyFill="1" applyBorder="1" applyAlignment="1">
      <alignment horizontal="right" vertical="top" wrapText="1"/>
    </xf>
    <xf numFmtId="3" fontId="1" fillId="23" borderId="7" xfId="0" applyNumberFormat="1" applyFont="1" applyFill="1" applyBorder="1" applyAlignment="1" applyProtection="1">
      <alignment horizontal="center" vertical="top" wrapText="1"/>
    </xf>
    <xf numFmtId="0" fontId="1" fillId="23" borderId="7" xfId="0" applyNumberFormat="1" applyFont="1" applyFill="1" applyBorder="1" applyAlignment="1">
      <alignment horizontal="right" vertical="top" wrapText="1"/>
    </xf>
    <xf numFmtId="3" fontId="1" fillId="23" borderId="7" xfId="0" applyNumberFormat="1" applyFont="1" applyFill="1" applyBorder="1" applyAlignment="1">
      <alignment horizontal="center" vertical="top"/>
    </xf>
    <xf numFmtId="0" fontId="37" fillId="0" borderId="0" xfId="0" applyFont="1" applyBorder="1" applyAlignment="1">
      <alignment horizontal="center"/>
    </xf>
    <xf numFmtId="0" fontId="37" fillId="23" borderId="0" xfId="0" applyFont="1" applyFill="1" applyBorder="1" applyAlignment="1">
      <alignment horizontal="center"/>
    </xf>
    <xf numFmtId="0" fontId="37" fillId="0" borderId="0" xfId="0" applyFont="1" applyBorder="1" applyAlignment="1">
      <alignment horizontal="justify"/>
    </xf>
    <xf numFmtId="167" fontId="37" fillId="0" borderId="0" xfId="30" applyNumberFormat="1" applyFont="1" applyBorder="1" applyAlignment="1">
      <alignment horizontal="right"/>
    </xf>
    <xf numFmtId="174" fontId="37" fillId="0" borderId="0" xfId="0" applyNumberFormat="1" applyFont="1" applyBorder="1" applyAlignment="1">
      <alignment horizontal="right"/>
    </xf>
    <xf numFmtId="0" fontId="37" fillId="0" borderId="0" xfId="0" applyFont="1" applyBorder="1"/>
    <xf numFmtId="1" fontId="37" fillId="0" borderId="0" xfId="30" applyNumberFormat="1" applyFont="1" applyBorder="1" applyAlignment="1">
      <alignment horizontal="right"/>
    </xf>
    <xf numFmtId="14" fontId="37" fillId="0" borderId="0" xfId="0" applyNumberFormat="1" applyFont="1" applyBorder="1" applyAlignment="1">
      <alignment horizontal="center"/>
    </xf>
    <xf numFmtId="14" fontId="37" fillId="0" borderId="0" xfId="0" applyNumberFormat="1" applyFont="1" applyBorder="1" applyAlignment="1">
      <alignment horizontal="center" vertical="center"/>
    </xf>
    <xf numFmtId="167" fontId="37" fillId="0" borderId="0" xfId="30" applyNumberFormat="1" applyFont="1" applyBorder="1"/>
    <xf numFmtId="1" fontId="37" fillId="0" borderId="0" xfId="30" applyNumberFormat="1" applyFont="1" applyBorder="1" applyAlignment="1">
      <alignment horizontal="center"/>
    </xf>
    <xf numFmtId="0" fontId="37" fillId="0" borderId="0" xfId="0" applyFont="1" applyBorder="1" applyAlignment="1">
      <alignment horizontal="right"/>
    </xf>
    <xf numFmtId="14" fontId="37" fillId="0" borderId="0" xfId="0" applyNumberFormat="1" applyFont="1" applyBorder="1" applyAlignment="1">
      <alignment horizontal="right"/>
    </xf>
    <xf numFmtId="49" fontId="37" fillId="0" borderId="0" xfId="0" applyNumberFormat="1" applyFont="1" applyBorder="1" applyAlignment="1">
      <alignment horizontal="center"/>
    </xf>
    <xf numFmtId="14" fontId="37" fillId="23" borderId="0" xfId="0" applyNumberFormat="1" applyFont="1" applyFill="1" applyBorder="1" applyAlignment="1">
      <alignment horizontal="center" vertical="center"/>
    </xf>
    <xf numFmtId="0" fontId="37" fillId="0" borderId="0" xfId="0" applyFont="1" applyFill="1" applyBorder="1" applyAlignment="1">
      <alignment horizontal="center"/>
    </xf>
    <xf numFmtId="1" fontId="37" fillId="0" borderId="0" xfId="0" applyNumberFormat="1" applyFont="1" applyFill="1" applyBorder="1" applyAlignment="1">
      <alignment horizontal="center"/>
    </xf>
    <xf numFmtId="168" fontId="37" fillId="0" borderId="0" xfId="0" applyNumberFormat="1" applyFont="1" applyFill="1" applyBorder="1" applyAlignment="1">
      <alignment horizontal="center" vertical="top"/>
    </xf>
    <xf numFmtId="0" fontId="37" fillId="43" borderId="0" xfId="0" applyFont="1" applyFill="1" applyBorder="1"/>
    <xf numFmtId="3" fontId="37" fillId="0" borderId="0" xfId="0" applyNumberFormat="1" applyFont="1" applyBorder="1" applyAlignment="1">
      <alignment vertical="top"/>
    </xf>
    <xf numFmtId="0" fontId="37" fillId="43" borderId="0" xfId="0" applyFont="1" applyFill="1" applyBorder="1" applyAlignment="1">
      <alignment horizontal="right" vertical="top"/>
    </xf>
    <xf numFmtId="0" fontId="37" fillId="24" borderId="0" xfId="0" applyFont="1" applyFill="1" applyBorder="1"/>
    <xf numFmtId="49" fontId="37" fillId="0" borderId="0" xfId="0" applyNumberFormat="1" applyFont="1" applyBorder="1"/>
    <xf numFmtId="0" fontId="37" fillId="38" borderId="0" xfId="0" applyFont="1" applyFill="1" applyBorder="1"/>
    <xf numFmtId="167" fontId="37" fillId="38" borderId="0" xfId="30" applyNumberFormat="1" applyFont="1" applyFill="1" applyBorder="1"/>
    <xf numFmtId="0" fontId="37" fillId="0" borderId="0" xfId="0" applyNumberFormat="1" applyFont="1" applyBorder="1" applyAlignment="1">
      <alignment horizontal="center" vertical="center"/>
    </xf>
    <xf numFmtId="172" fontId="37" fillId="0" borderId="0" xfId="0" applyNumberFormat="1" applyFont="1" applyBorder="1" applyAlignment="1">
      <alignment horizontal="right" vertical="center"/>
    </xf>
    <xf numFmtId="0" fontId="23" fillId="0" borderId="0" xfId="0" applyFont="1" applyBorder="1" applyAlignment="1">
      <alignment horizontal="center" vertical="center" wrapText="1"/>
    </xf>
    <xf numFmtId="1" fontId="23" fillId="0" borderId="0" xfId="30" applyNumberFormat="1" applyFont="1" applyFill="1" applyBorder="1" applyAlignment="1">
      <alignment horizontal="center" vertical="center" wrapText="1"/>
    </xf>
    <xf numFmtId="1" fontId="23" fillId="0" borderId="0" xfId="30" applyNumberFormat="1" applyFont="1" applyFill="1" applyBorder="1" applyAlignment="1">
      <alignment horizontal="right" vertical="center" wrapText="1"/>
    </xf>
    <xf numFmtId="0" fontId="2" fillId="23" borderId="7" xfId="34" applyFill="1" applyBorder="1" applyAlignment="1">
      <alignment horizontal="justify" vertical="top" wrapText="1"/>
    </xf>
    <xf numFmtId="3" fontId="1" fillId="23" borderId="0" xfId="0" applyNumberFormat="1" applyFont="1" applyFill="1" applyAlignment="1">
      <alignment vertical="top"/>
    </xf>
    <xf numFmtId="49" fontId="1" fillId="23" borderId="7" xfId="0" applyNumberFormat="1" applyFont="1" applyFill="1" applyBorder="1" applyAlignment="1">
      <alignment horizontal="center" vertical="top" wrapText="1"/>
    </xf>
    <xf numFmtId="171" fontId="1" fillId="23" borderId="7" xfId="0" applyNumberFormat="1" applyFont="1" applyFill="1" applyBorder="1" applyAlignment="1" applyProtection="1">
      <alignment horizontal="justify" vertical="top" wrapText="1"/>
    </xf>
    <xf numFmtId="3" fontId="1" fillId="23" borderId="7" xfId="34" applyNumberFormat="1" applyFont="1" applyFill="1" applyBorder="1" applyAlignment="1">
      <alignment horizontal="left" vertical="top" wrapText="1"/>
    </xf>
    <xf numFmtId="0" fontId="37" fillId="23" borderId="7" xfId="0" applyFont="1" applyFill="1" applyBorder="1" applyAlignment="1">
      <alignment horizontal="justify" vertical="top" wrapText="1"/>
    </xf>
    <xf numFmtId="0" fontId="1" fillId="23" borderId="16" xfId="0" applyFont="1" applyFill="1" applyBorder="1" applyAlignment="1">
      <alignment vertical="top" wrapText="1"/>
    </xf>
    <xf numFmtId="0" fontId="1" fillId="23" borderId="7" xfId="0" applyFont="1" applyFill="1" applyBorder="1" applyAlignment="1" applyProtection="1">
      <alignment horizontal="justify" vertical="top" wrapText="1"/>
      <protection locked="0"/>
    </xf>
    <xf numFmtId="3" fontId="0" fillId="0" borderId="21" xfId="0" applyNumberFormat="1" applyBorder="1"/>
    <xf numFmtId="170" fontId="37" fillId="0" borderId="7" xfId="38" applyNumberFormat="1" applyFont="1" applyBorder="1" applyAlignment="1">
      <alignment horizontal="right" vertical="top"/>
    </xf>
    <xf numFmtId="0" fontId="37" fillId="0" borderId="7" xfId="34" applyFont="1" applyFill="1" applyBorder="1" applyAlignment="1">
      <alignment horizontal="justify" vertical="top" wrapText="1"/>
    </xf>
    <xf numFmtId="167" fontId="37" fillId="0" borderId="7" xfId="38" applyNumberFormat="1" applyFont="1" applyFill="1" applyBorder="1" applyAlignment="1">
      <alignment horizontal="justify" vertical="top"/>
    </xf>
    <xf numFmtId="0" fontId="37" fillId="0" borderId="7" xfId="0" applyFont="1" applyBorder="1" applyAlignment="1">
      <alignment vertical="top"/>
    </xf>
    <xf numFmtId="0" fontId="1" fillId="23" borderId="7" xfId="34" applyFont="1" applyFill="1" applyBorder="1" applyAlignment="1">
      <alignment horizontal="justify" vertical="top"/>
    </xf>
    <xf numFmtId="167" fontId="20" fillId="23" borderId="7" xfId="0" applyNumberFormat="1" applyFont="1" applyFill="1" applyBorder="1"/>
    <xf numFmtId="3" fontId="18" fillId="22" borderId="26" xfId="38" applyNumberFormat="1" applyFont="1" applyFill="1" applyBorder="1" applyAlignment="1">
      <alignment horizontal="right" vertical="top"/>
    </xf>
    <xf numFmtId="3" fontId="18" fillId="22" borderId="27" xfId="38" applyNumberFormat="1" applyFont="1" applyFill="1" applyBorder="1" applyAlignment="1">
      <alignment horizontal="right" vertical="top"/>
    </xf>
    <xf numFmtId="3" fontId="18" fillId="22" borderId="25" xfId="38" applyNumberFormat="1" applyFont="1" applyFill="1" applyBorder="1" applyAlignment="1">
      <alignment horizontal="right" vertical="top"/>
    </xf>
    <xf numFmtId="0" fontId="24" fillId="0" borderId="25" xfId="33" applyFont="1" applyFill="1" applyBorder="1" applyAlignment="1">
      <alignment vertical="top"/>
    </xf>
    <xf numFmtId="0" fontId="24" fillId="26" borderId="40" xfId="33" applyFont="1" applyFill="1" applyBorder="1" applyAlignment="1" applyProtection="1">
      <alignment vertical="top" wrapText="1"/>
    </xf>
    <xf numFmtId="3" fontId="27" fillId="0" borderId="0" xfId="0" applyNumberFormat="1" applyFont="1" applyAlignment="1">
      <alignment vertical="top"/>
    </xf>
    <xf numFmtId="3" fontId="1" fillId="0" borderId="0" xfId="33" applyNumberFormat="1" applyFont="1" applyFill="1" applyBorder="1" applyAlignment="1">
      <alignment vertical="center"/>
    </xf>
    <xf numFmtId="0" fontId="1" fillId="23" borderId="7" xfId="0" applyNumberFormat="1" applyFont="1" applyFill="1" applyBorder="1" applyAlignment="1" applyProtection="1">
      <alignment horizontal="left" vertical="top" wrapText="1"/>
    </xf>
    <xf numFmtId="0" fontId="1" fillId="23" borderId="7" xfId="0" applyFont="1" applyFill="1" applyBorder="1" applyAlignment="1" applyProtection="1">
      <alignment horizontal="justify" vertical="top"/>
      <protection locked="0"/>
    </xf>
    <xf numFmtId="1" fontId="37" fillId="23" borderId="7" xfId="30" applyNumberFormat="1" applyFont="1" applyFill="1" applyBorder="1" applyAlignment="1" applyProtection="1">
      <alignment horizontal="center" vertical="top" wrapText="1"/>
    </xf>
    <xf numFmtId="4" fontId="1" fillId="23" borderId="7" xfId="0" applyNumberFormat="1" applyFont="1" applyFill="1" applyBorder="1" applyAlignment="1" applyProtection="1">
      <alignment horizontal="justify" vertical="top" wrapText="1"/>
    </xf>
    <xf numFmtId="0" fontId="21" fillId="23" borderId="7" xfId="0" applyFont="1" applyFill="1" applyBorder="1" applyAlignment="1">
      <alignment vertical="top" wrapText="1"/>
    </xf>
    <xf numFmtId="0" fontId="1" fillId="23" borderId="7" xfId="0" applyNumberFormat="1" applyFont="1" applyFill="1" applyBorder="1" applyAlignment="1" applyProtection="1">
      <alignment horizontal="right" vertical="top" wrapText="1"/>
    </xf>
    <xf numFmtId="14" fontId="1" fillId="23" borderId="7" xfId="0" applyNumberFormat="1" applyFont="1" applyFill="1" applyBorder="1" applyAlignment="1" applyProtection="1">
      <alignment horizontal="right" vertical="top" wrapText="1"/>
    </xf>
    <xf numFmtId="49" fontId="1" fillId="23" borderId="7" xfId="0" applyNumberFormat="1" applyFont="1" applyFill="1" applyBorder="1" applyAlignment="1">
      <alignment horizontal="justify" vertical="top" wrapText="1"/>
    </xf>
    <xf numFmtId="173" fontId="1" fillId="23" borderId="7" xfId="0" applyNumberFormat="1" applyFont="1" applyFill="1" applyBorder="1" applyAlignment="1" applyProtection="1">
      <alignment horizontal="center" vertical="top" wrapText="1"/>
    </xf>
    <xf numFmtId="15" fontId="1" fillId="23" borderId="7" xfId="0" applyNumberFormat="1" applyFont="1" applyFill="1" applyBorder="1" applyAlignment="1">
      <alignment horizontal="left" vertical="top" wrapText="1"/>
    </xf>
    <xf numFmtId="175" fontId="1" fillId="23" borderId="7" xfId="0" applyNumberFormat="1" applyFont="1" applyFill="1" applyBorder="1" applyAlignment="1" applyProtection="1">
      <alignment horizontal="right" vertical="top" wrapText="1"/>
    </xf>
    <xf numFmtId="0" fontId="1" fillId="23" borderId="7" xfId="0" applyFont="1" applyFill="1" applyBorder="1" applyAlignment="1" applyProtection="1">
      <alignment horizontal="center" vertical="top" wrapText="1"/>
    </xf>
    <xf numFmtId="174" fontId="1" fillId="23" borderId="7" xfId="0" applyNumberFormat="1" applyFont="1" applyFill="1" applyBorder="1" applyAlignment="1" applyProtection="1">
      <alignment horizontal="right" vertical="top" wrapText="1"/>
    </xf>
    <xf numFmtId="164" fontId="1" fillId="23" borderId="7" xfId="0" applyNumberFormat="1" applyFont="1" applyFill="1" applyBorder="1" applyAlignment="1">
      <alignment horizontal="center" vertical="top" wrapText="1"/>
    </xf>
    <xf numFmtId="171" fontId="1" fillId="23" borderId="7" xfId="0" applyNumberFormat="1" applyFont="1" applyFill="1" applyBorder="1" applyAlignment="1">
      <alignment horizontal="center" vertical="top"/>
    </xf>
    <xf numFmtId="3" fontId="0" fillId="23" borderId="7" xfId="0" applyNumberFormat="1" applyFill="1" applyBorder="1" applyAlignment="1">
      <alignment vertical="top" wrapText="1"/>
    </xf>
    <xf numFmtId="14" fontId="0" fillId="23" borderId="7" xfId="0" applyNumberFormat="1" applyFill="1" applyBorder="1" applyAlignment="1">
      <alignment vertical="top" wrapText="1"/>
    </xf>
    <xf numFmtId="171" fontId="1" fillId="23" borderId="7" xfId="0" applyNumberFormat="1" applyFont="1" applyFill="1" applyBorder="1" applyAlignment="1">
      <alignment horizontal="right" vertical="top" wrapText="1"/>
    </xf>
    <xf numFmtId="0" fontId="23" fillId="0" borderId="0" xfId="0" applyFont="1" applyBorder="1"/>
    <xf numFmtId="0" fontId="2" fillId="23" borderId="7" xfId="34" applyFill="1" applyBorder="1" applyAlignment="1">
      <alignment vertical="top" wrapText="1"/>
    </xf>
    <xf numFmtId="0" fontId="30" fillId="23" borderId="7" xfId="39" applyFont="1" applyFill="1" applyBorder="1" applyAlignment="1">
      <alignment horizontal="justify" vertical="top"/>
    </xf>
    <xf numFmtId="3" fontId="18" fillId="22" borderId="38" xfId="0" applyNumberFormat="1" applyFont="1" applyFill="1" applyBorder="1" applyAlignment="1" applyProtection="1">
      <alignment horizontal="right" vertical="top"/>
    </xf>
    <xf numFmtId="0" fontId="17" fillId="24" borderId="8" xfId="34" applyNumberFormat="1" applyFont="1" applyFill="1" applyBorder="1" applyAlignment="1">
      <alignment horizontal="center" vertical="top" wrapText="1"/>
    </xf>
    <xf numFmtId="167" fontId="1" fillId="23" borderId="0" xfId="30" applyNumberFormat="1" applyFont="1" applyFill="1" applyAlignment="1">
      <alignment vertical="top"/>
    </xf>
    <xf numFmtId="0" fontId="1" fillId="23" borderId="7" xfId="0" applyFont="1" applyFill="1" applyBorder="1" applyAlignment="1">
      <alignment wrapText="1"/>
    </xf>
    <xf numFmtId="14" fontId="1" fillId="23" borderId="7" xfId="30" applyNumberFormat="1" applyFont="1" applyFill="1" applyBorder="1" applyAlignment="1" applyProtection="1">
      <alignment vertical="top" wrapText="1"/>
    </xf>
    <xf numFmtId="0" fontId="20" fillId="23" borderId="0" xfId="0" applyFont="1" applyFill="1" applyBorder="1" applyAlignment="1">
      <alignment horizontal="justify" vertical="top"/>
    </xf>
    <xf numFmtId="3" fontId="0" fillId="0" borderId="0" xfId="0" applyNumberFormat="1"/>
    <xf numFmtId="0" fontId="2" fillId="23" borderId="7" xfId="34" applyFill="1" applyBorder="1" applyAlignment="1">
      <alignment horizontal="justify" vertical="center"/>
    </xf>
    <xf numFmtId="10" fontId="38" fillId="32" borderId="7" xfId="41" applyNumberFormat="1" applyFont="1" applyFill="1" applyBorder="1" applyAlignment="1">
      <alignment horizontal="center" vertical="center" wrapText="1"/>
    </xf>
    <xf numFmtId="10" fontId="17" fillId="33" borderId="7" xfId="41" applyNumberFormat="1" applyFont="1" applyFill="1" applyBorder="1" applyAlignment="1">
      <alignment horizontal="center" vertical="center" wrapText="1"/>
    </xf>
    <xf numFmtId="167" fontId="23" fillId="0" borderId="0" xfId="30" applyNumberFormat="1" applyFont="1" applyAlignment="1">
      <alignment vertical="top"/>
    </xf>
    <xf numFmtId="167" fontId="23" fillId="0" borderId="0" xfId="0" applyNumberFormat="1" applyFont="1" applyAlignment="1">
      <alignment vertical="top"/>
    </xf>
    <xf numFmtId="0" fontId="23" fillId="32" borderId="0" xfId="0" applyFont="1" applyFill="1" applyBorder="1" applyAlignment="1">
      <alignment horizontal="center" vertical="center" wrapText="1"/>
    </xf>
    <xf numFmtId="0" fontId="0" fillId="0" borderId="0" xfId="0" applyBorder="1" applyAlignment="1">
      <alignment horizontal="left" wrapText="1"/>
    </xf>
    <xf numFmtId="3" fontId="0" fillId="0" borderId="0" xfId="0" applyNumberFormat="1" applyBorder="1" applyAlignment="1">
      <alignment horizontal="left" wrapText="1"/>
    </xf>
    <xf numFmtId="167" fontId="0" fillId="0" borderId="0" xfId="30" applyNumberFormat="1" applyFont="1" applyBorder="1"/>
    <xf numFmtId="0" fontId="1" fillId="0" borderId="21" xfId="0" applyFont="1" applyFill="1" applyBorder="1"/>
    <xf numFmtId="0" fontId="0" fillId="0" borderId="39" xfId="0" applyBorder="1" applyAlignment="1">
      <alignment horizontal="left" wrapText="1"/>
    </xf>
    <xf numFmtId="49" fontId="17" fillId="22" borderId="45" xfId="34" applyNumberFormat="1" applyFont="1" applyFill="1" applyBorder="1" applyAlignment="1">
      <alignment horizontal="center" vertical="center" wrapText="1"/>
    </xf>
    <xf numFmtId="49" fontId="17" fillId="31" borderId="45" xfId="34" applyNumberFormat="1" applyFont="1" applyFill="1" applyBorder="1" applyAlignment="1">
      <alignment horizontal="center" vertical="center" wrapText="1"/>
    </xf>
    <xf numFmtId="49" fontId="17" fillId="22" borderId="45" xfId="33" applyNumberFormat="1" applyFont="1" applyFill="1" applyBorder="1" applyAlignment="1">
      <alignment horizontal="center" vertical="center" wrapText="1"/>
    </xf>
    <xf numFmtId="167" fontId="17" fillId="30" borderId="45" xfId="30" applyNumberFormat="1" applyFont="1" applyFill="1" applyBorder="1" applyAlignment="1">
      <alignment horizontal="center" vertical="center" wrapText="1"/>
    </xf>
    <xf numFmtId="3" fontId="17" fillId="22" borderId="45" xfId="34" applyNumberFormat="1" applyFont="1" applyFill="1" applyBorder="1" applyAlignment="1">
      <alignment horizontal="center" vertical="center" wrapText="1"/>
    </xf>
    <xf numFmtId="165" fontId="17" fillId="22" borderId="45" xfId="34" applyNumberFormat="1" applyFont="1" applyFill="1" applyBorder="1" applyAlignment="1">
      <alignment horizontal="center" vertical="center" wrapText="1"/>
    </xf>
    <xf numFmtId="0" fontId="17" fillId="22" borderId="45" xfId="34" applyNumberFormat="1" applyFont="1" applyFill="1" applyBorder="1" applyAlignment="1">
      <alignment horizontal="center" vertical="center" wrapText="1"/>
    </xf>
    <xf numFmtId="0" fontId="17" fillId="29" borderId="45" xfId="34" applyNumberFormat="1" applyFont="1" applyFill="1" applyBorder="1" applyAlignment="1">
      <alignment horizontal="center" vertical="center" wrapText="1"/>
    </xf>
    <xf numFmtId="0" fontId="43" fillId="23" borderId="7" xfId="0" applyFont="1" applyFill="1" applyBorder="1" applyAlignment="1">
      <alignment vertical="top" wrapText="1"/>
    </xf>
    <xf numFmtId="0" fontId="1" fillId="0" borderId="7" xfId="0" applyFont="1" applyBorder="1" applyAlignment="1">
      <alignment horizontal="justify" vertical="top" wrapText="1"/>
    </xf>
    <xf numFmtId="3" fontId="1" fillId="23" borderId="7" xfId="30" applyNumberFormat="1" applyFont="1" applyFill="1" applyBorder="1" applyAlignment="1">
      <alignment horizontal="center" vertical="top"/>
    </xf>
    <xf numFmtId="0" fontId="42" fillId="23" borderId="7" xfId="34" applyFont="1" applyFill="1" applyBorder="1" applyAlignment="1">
      <alignment horizontal="justify" vertical="top" wrapText="1"/>
    </xf>
    <xf numFmtId="166" fontId="42" fillId="23" borderId="7" xfId="34" applyNumberFormat="1" applyFont="1" applyFill="1" applyBorder="1" applyAlignment="1">
      <alignment horizontal="center" vertical="top" wrapText="1"/>
    </xf>
    <xf numFmtId="0" fontId="14" fillId="32" borderId="28" xfId="34" applyNumberFormat="1" applyFont="1" applyFill="1" applyBorder="1" applyAlignment="1">
      <alignment horizontal="center" vertical="center" wrapText="1"/>
    </xf>
    <xf numFmtId="0" fontId="14" fillId="22" borderId="28" xfId="34" applyNumberFormat="1" applyFont="1" applyFill="1" applyBorder="1" applyAlignment="1">
      <alignment horizontal="center" vertical="center" wrapText="1"/>
    </xf>
    <xf numFmtId="0" fontId="14" fillId="31" borderId="28" xfId="34" applyNumberFormat="1" applyFont="1" applyFill="1" applyBorder="1" applyAlignment="1">
      <alignment horizontal="center" vertical="center" wrapText="1"/>
    </xf>
    <xf numFmtId="3" fontId="44" fillId="25" borderId="28" xfId="33" applyNumberFormat="1" applyFont="1" applyFill="1" applyBorder="1" applyAlignment="1">
      <alignment horizontal="center" vertical="top" wrapText="1"/>
    </xf>
    <xf numFmtId="0" fontId="14" fillId="25" borderId="48" xfId="34" applyNumberFormat="1" applyFont="1" applyFill="1" applyBorder="1" applyAlignment="1">
      <alignment horizontal="center" vertical="center" wrapText="1"/>
    </xf>
    <xf numFmtId="0" fontId="14" fillId="25" borderId="22" xfId="34" applyNumberFormat="1" applyFont="1" applyFill="1" applyBorder="1" applyAlignment="1">
      <alignment horizontal="center" vertical="center" wrapText="1"/>
    </xf>
    <xf numFmtId="49" fontId="14" fillId="0" borderId="49" xfId="33" applyNumberFormat="1" applyFont="1" applyBorder="1" applyAlignment="1"/>
    <xf numFmtId="49" fontId="14" fillId="0" borderId="27" xfId="33" applyNumberFormat="1" applyFont="1" applyBorder="1" applyAlignment="1"/>
    <xf numFmtId="49" fontId="14" fillId="0" borderId="26" xfId="33" applyNumberFormat="1" applyFont="1" applyBorder="1" applyAlignment="1"/>
    <xf numFmtId="176" fontId="1" fillId="23" borderId="7" xfId="0" applyNumberFormat="1" applyFont="1" applyFill="1" applyBorder="1" applyAlignment="1">
      <alignment horizontal="right" vertical="top"/>
    </xf>
    <xf numFmtId="176" fontId="1" fillId="23" borderId="7" xfId="0" applyNumberFormat="1" applyFont="1" applyFill="1" applyBorder="1" applyAlignment="1">
      <alignment horizontal="right" vertical="top" wrapText="1"/>
    </xf>
    <xf numFmtId="176" fontId="1" fillId="23" borderId="7" xfId="0" applyNumberFormat="1" applyFont="1" applyFill="1" applyBorder="1" applyAlignment="1">
      <alignment horizontal="center" vertical="top" wrapText="1"/>
    </xf>
    <xf numFmtId="176" fontId="42" fillId="23" borderId="7" xfId="34" applyNumberFormat="1" applyFont="1" applyFill="1" applyBorder="1" applyAlignment="1">
      <alignment horizontal="right" vertical="top" wrapText="1"/>
    </xf>
    <xf numFmtId="176" fontId="1" fillId="23" borderId="7" xfId="34" applyNumberFormat="1" applyFont="1" applyFill="1" applyBorder="1" applyAlignment="1">
      <alignment horizontal="right" vertical="top" wrapText="1"/>
    </xf>
    <xf numFmtId="176" fontId="42" fillId="23" borderId="7" xfId="0" applyNumberFormat="1" applyFont="1" applyFill="1" applyBorder="1" applyAlignment="1">
      <alignment horizontal="right" vertical="top"/>
    </xf>
    <xf numFmtId="176" fontId="1" fillId="23" borderId="7" xfId="0" applyNumberFormat="1" applyFont="1" applyFill="1" applyBorder="1" applyAlignment="1" applyProtection="1">
      <alignment horizontal="center" vertical="top" wrapText="1"/>
    </xf>
    <xf numFmtId="176" fontId="37" fillId="23" borderId="7" xfId="0" applyNumberFormat="1" applyFont="1" applyFill="1" applyBorder="1" applyAlignment="1" applyProtection="1">
      <alignment horizontal="center" vertical="top" wrapText="1"/>
    </xf>
    <xf numFmtId="176" fontId="1" fillId="23" borderId="7" xfId="0" applyNumberFormat="1" applyFont="1" applyFill="1" applyBorder="1" applyAlignment="1">
      <alignment vertical="top"/>
    </xf>
    <xf numFmtId="176" fontId="1" fillId="23" borderId="7" xfId="34" applyNumberFormat="1" applyFont="1" applyFill="1" applyBorder="1" applyAlignment="1">
      <alignment vertical="top" wrapText="1"/>
    </xf>
    <xf numFmtId="176" fontId="0" fillId="23" borderId="7" xfId="0" applyNumberFormat="1" applyFill="1" applyBorder="1" applyAlignment="1">
      <alignment vertical="top"/>
    </xf>
    <xf numFmtId="176" fontId="1" fillId="23" borderId="7" xfId="0" applyNumberFormat="1" applyFont="1" applyFill="1" applyBorder="1" applyAlignment="1" applyProtection="1">
      <alignment horizontal="right" vertical="top" wrapText="1"/>
    </xf>
    <xf numFmtId="0" fontId="37" fillId="23" borderId="7" xfId="34" applyFont="1" applyFill="1" applyBorder="1" applyAlignment="1">
      <alignment horizontal="justify" vertical="top" wrapText="1"/>
    </xf>
    <xf numFmtId="167" fontId="20" fillId="23" borderId="7" xfId="30" applyNumberFormat="1" applyFont="1" applyFill="1" applyBorder="1" applyAlignment="1">
      <alignment horizontal="right" vertical="top"/>
    </xf>
    <xf numFmtId="0" fontId="17" fillId="0" borderId="12" xfId="0" applyFont="1" applyBorder="1" applyAlignment="1">
      <alignment horizontal="center"/>
    </xf>
    <xf numFmtId="0" fontId="17" fillId="0" borderId="0" xfId="0" applyFont="1" applyBorder="1" applyAlignment="1">
      <alignment horizontal="center"/>
    </xf>
    <xf numFmtId="0" fontId="1" fillId="23" borderId="7" xfId="0" applyFont="1" applyFill="1" applyBorder="1" applyAlignment="1" applyProtection="1">
      <alignment horizontal="justify" vertical="top" wrapText="1"/>
    </xf>
    <xf numFmtId="0" fontId="1" fillId="23" borderId="16" xfId="0" applyNumberFormat="1" applyFont="1" applyFill="1" applyBorder="1" applyAlignment="1" applyProtection="1">
      <alignment horizontal="justify" vertical="top" wrapText="1"/>
    </xf>
    <xf numFmtId="1" fontId="1" fillId="23" borderId="0" xfId="30" applyNumberFormat="1" applyFont="1" applyFill="1" applyAlignment="1">
      <alignment vertical="top"/>
    </xf>
    <xf numFmtId="171" fontId="1" fillId="23" borderId="7" xfId="30" applyNumberFormat="1" applyFont="1" applyFill="1" applyBorder="1" applyAlignment="1" applyProtection="1">
      <alignment horizontal="center" vertical="top" wrapText="1"/>
    </xf>
    <xf numFmtId="173" fontId="1" fillId="23" borderId="7" xfId="0" applyNumberFormat="1" applyFont="1" applyFill="1" applyBorder="1" applyAlignment="1">
      <alignment vertical="top" wrapText="1"/>
    </xf>
    <xf numFmtId="1" fontId="1" fillId="23" borderId="7" xfId="0" applyNumberFormat="1" applyFont="1" applyFill="1" applyBorder="1" applyAlignment="1" applyProtection="1">
      <alignment horizontal="justify" vertical="top" wrapText="1"/>
    </xf>
    <xf numFmtId="171" fontId="20" fillId="23" borderId="7" xfId="0" applyNumberFormat="1" applyFont="1" applyFill="1" applyBorder="1" applyAlignment="1" applyProtection="1">
      <alignment horizontal="center" vertical="top" wrapText="1"/>
    </xf>
    <xf numFmtId="1" fontId="20" fillId="23" borderId="7" xfId="0" applyNumberFormat="1" applyFont="1" applyFill="1" applyBorder="1" applyAlignment="1">
      <alignment horizontal="center" vertical="top" wrapText="1"/>
    </xf>
    <xf numFmtId="171" fontId="20" fillId="23" borderId="7" xfId="0" applyNumberFormat="1" applyFont="1" applyFill="1" applyBorder="1" applyAlignment="1">
      <alignment horizontal="center" vertical="top" wrapText="1"/>
    </xf>
    <xf numFmtId="0" fontId="1" fillId="23" borderId="45" xfId="0" applyFont="1" applyFill="1" applyBorder="1" applyAlignment="1" applyProtection="1">
      <alignment horizontal="left" vertical="top" wrapText="1"/>
    </xf>
    <xf numFmtId="1" fontId="37" fillId="23" borderId="7" xfId="30" applyNumberFormat="1" applyFont="1" applyFill="1" applyBorder="1" applyAlignment="1" applyProtection="1">
      <alignment horizontal="right" vertical="top" wrapText="1"/>
    </xf>
    <xf numFmtId="4" fontId="37" fillId="23" borderId="7" xfId="0" applyNumberFormat="1" applyFont="1" applyFill="1" applyBorder="1" applyAlignment="1" applyProtection="1">
      <alignment horizontal="justify" vertical="top" wrapText="1"/>
    </xf>
    <xf numFmtId="0" fontId="14" fillId="28" borderId="7" xfId="0" applyFont="1" applyFill="1" applyBorder="1" applyAlignment="1">
      <alignment vertical="top" wrapText="1"/>
    </xf>
    <xf numFmtId="167" fontId="14" fillId="28" borderId="7" xfId="30" applyNumberFormat="1" applyFont="1" applyFill="1" applyBorder="1" applyAlignment="1">
      <alignment horizontal="right" vertical="top"/>
    </xf>
    <xf numFmtId="0" fontId="30" fillId="23" borderId="7" xfId="0" applyFont="1" applyFill="1" applyBorder="1" applyAlignment="1">
      <alignment horizontal="justify" vertical="top" wrapText="1"/>
    </xf>
    <xf numFmtId="3" fontId="1" fillId="0" borderId="7" xfId="0" applyNumberFormat="1" applyFont="1" applyBorder="1" applyAlignment="1">
      <alignment vertical="top"/>
    </xf>
    <xf numFmtId="168" fontId="1" fillId="23" borderId="7" xfId="0" applyNumberFormat="1" applyFont="1" applyFill="1" applyBorder="1" applyAlignment="1">
      <alignment horizontal="right" vertical="top"/>
    </xf>
    <xf numFmtId="14" fontId="1" fillId="23" borderId="7" xfId="34" applyNumberFormat="1" applyFont="1" applyFill="1" applyBorder="1" applyAlignment="1">
      <alignment horizontal="justify" vertical="top" wrapText="1"/>
    </xf>
    <xf numFmtId="0" fontId="30" fillId="23" borderId="0" xfId="39" applyFont="1" applyFill="1" applyAlignment="1">
      <alignment horizontal="justify" vertical="top"/>
    </xf>
    <xf numFmtId="167" fontId="1" fillId="23" borderId="7" xfId="30" applyNumberFormat="1" applyFont="1" applyFill="1" applyBorder="1" applyAlignment="1">
      <alignment horizontal="center" vertical="top"/>
    </xf>
    <xf numFmtId="0" fontId="30" fillId="23" borderId="7" xfId="34" applyFont="1" applyFill="1" applyBorder="1" applyAlignment="1">
      <alignment vertical="top"/>
    </xf>
    <xf numFmtId="0" fontId="30" fillId="23" borderId="0" xfId="34" applyFont="1" applyFill="1" applyAlignment="1">
      <alignment vertical="top"/>
    </xf>
    <xf numFmtId="177" fontId="30" fillId="23" borderId="7" xfId="34" applyNumberFormat="1" applyFont="1" applyFill="1" applyBorder="1" applyAlignment="1">
      <alignment vertical="top"/>
    </xf>
    <xf numFmtId="177" fontId="30" fillId="23" borderId="0" xfId="34" applyNumberFormat="1" applyFont="1" applyFill="1" applyAlignment="1">
      <alignment vertical="top"/>
    </xf>
    <xf numFmtId="14" fontId="30" fillId="23" borderId="7" xfId="34" applyNumberFormat="1" applyFont="1" applyFill="1" applyBorder="1" applyAlignment="1">
      <alignment horizontal="justify" vertical="top"/>
    </xf>
    <xf numFmtId="14" fontId="30" fillId="23" borderId="7" xfId="34" applyNumberFormat="1" applyFont="1" applyFill="1" applyBorder="1" applyAlignment="1">
      <alignment vertical="top"/>
    </xf>
    <xf numFmtId="0" fontId="30" fillId="23" borderId="7" xfId="34" applyFont="1" applyFill="1" applyBorder="1" applyAlignment="1">
      <alignment horizontal="center" vertical="top"/>
    </xf>
    <xf numFmtId="3" fontId="1" fillId="23" borderId="7" xfId="0" applyNumberFormat="1" applyFont="1" applyFill="1" applyBorder="1" applyAlignment="1">
      <alignment vertical="top"/>
    </xf>
    <xf numFmtId="165" fontId="0" fillId="23" borderId="0" xfId="0" applyNumberFormat="1" applyFill="1" applyAlignment="1">
      <alignment horizontal="right"/>
    </xf>
    <xf numFmtId="0" fontId="30" fillId="23" borderId="7" xfId="34" applyFont="1" applyFill="1" applyBorder="1" applyAlignment="1">
      <alignment horizontal="justify" vertical="top" wrapText="1"/>
    </xf>
    <xf numFmtId="9" fontId="17" fillId="36" borderId="7" xfId="42" applyFont="1" applyFill="1" applyBorder="1" applyAlignment="1">
      <alignment horizontal="center" vertical="center" wrapText="1"/>
    </xf>
    <xf numFmtId="0" fontId="0" fillId="0" borderId="14" xfId="0" applyBorder="1"/>
    <xf numFmtId="49" fontId="19" fillId="22" borderId="45" xfId="34" applyNumberFormat="1" applyFont="1" applyFill="1" applyBorder="1" applyAlignment="1">
      <alignment horizontal="center" vertical="center" wrapText="1"/>
    </xf>
    <xf numFmtId="167" fontId="2" fillId="23" borderId="0" xfId="34" applyNumberFormat="1" applyFill="1" applyAlignment="1">
      <alignment vertical="center"/>
    </xf>
    <xf numFmtId="0" fontId="19" fillId="28" borderId="7" xfId="0" applyFont="1" applyFill="1" applyBorder="1" applyAlignment="1">
      <alignment horizontal="justify" vertical="top" wrapText="1"/>
    </xf>
    <xf numFmtId="166" fontId="19" fillId="28" borderId="7" xfId="34" applyNumberFormat="1" applyFont="1" applyFill="1" applyBorder="1" applyAlignment="1">
      <alignment vertical="top" wrapText="1"/>
    </xf>
    <xf numFmtId="0" fontId="1" fillId="0" borderId="0" xfId="0" applyFont="1" applyBorder="1"/>
    <xf numFmtId="0" fontId="30" fillId="23" borderId="7" xfId="34" applyFont="1" applyFill="1" applyBorder="1" applyAlignment="1">
      <alignment horizontal="justify" vertical="center"/>
    </xf>
    <xf numFmtId="0" fontId="22" fillId="23" borderId="7" xfId="34" applyFont="1" applyFill="1" applyBorder="1" applyAlignment="1">
      <alignment horizontal="justify" vertical="center"/>
    </xf>
    <xf numFmtId="0" fontId="20" fillId="23" borderId="7" xfId="0" applyFont="1" applyFill="1" applyBorder="1" applyAlignment="1">
      <alignment horizontal="justify"/>
    </xf>
    <xf numFmtId="0" fontId="1" fillId="23" borderId="7" xfId="0" applyFont="1" applyFill="1" applyBorder="1" applyAlignment="1">
      <alignment horizontal="justify"/>
    </xf>
    <xf numFmtId="0" fontId="38" fillId="27" borderId="7" xfId="0" applyFont="1" applyFill="1" applyBorder="1" applyAlignment="1">
      <alignment horizontal="center" vertical="center" wrapText="1"/>
    </xf>
    <xf numFmtId="3" fontId="38" fillId="27" borderId="7" xfId="0" applyNumberFormat="1" applyFont="1" applyFill="1" applyBorder="1" applyAlignment="1">
      <alignment horizontal="right" vertical="center" wrapText="1"/>
    </xf>
    <xf numFmtId="3" fontId="17" fillId="27" borderId="7" xfId="0" applyNumberFormat="1" applyFont="1" applyFill="1" applyBorder="1" applyAlignment="1">
      <alignment horizontal="right" vertical="center" wrapText="1"/>
    </xf>
    <xf numFmtId="3" fontId="17" fillId="27" borderId="7" xfId="0" applyNumberFormat="1" applyFont="1" applyFill="1" applyBorder="1" applyAlignment="1">
      <alignment horizontal="center" vertical="center" wrapText="1"/>
    </xf>
    <xf numFmtId="10" fontId="17" fillId="27" borderId="7" xfId="41" applyNumberFormat="1" applyFont="1" applyFill="1" applyBorder="1" applyAlignment="1">
      <alignment horizontal="center" vertical="center" wrapText="1"/>
    </xf>
    <xf numFmtId="0" fontId="1" fillId="0" borderId="7" xfId="34" applyFont="1" applyFill="1" applyBorder="1" applyAlignment="1">
      <alignment horizontal="justify" vertical="top" wrapText="1"/>
    </xf>
    <xf numFmtId="0" fontId="30" fillId="0" borderId="7" xfId="34" applyFont="1" applyFill="1" applyBorder="1" applyAlignment="1">
      <alignment horizontal="justify" vertical="top" wrapText="1"/>
    </xf>
    <xf numFmtId="3" fontId="37" fillId="35" borderId="7" xfId="0" applyNumberFormat="1" applyFont="1" applyFill="1" applyBorder="1" applyAlignment="1">
      <alignment horizontal="right" vertical="top" wrapText="1"/>
    </xf>
    <xf numFmtId="4" fontId="39" fillId="35" borderId="45" xfId="0" applyNumberFormat="1" applyFont="1" applyFill="1" applyBorder="1" applyAlignment="1">
      <alignment horizontal="justify" vertical="center" wrapText="1"/>
    </xf>
    <xf numFmtId="0" fontId="34" fillId="33" borderId="0" xfId="0" applyFont="1" applyFill="1" applyBorder="1" applyAlignment="1">
      <alignment horizontal="left"/>
    </xf>
    <xf numFmtId="0" fontId="36" fillId="35" borderId="45" xfId="0" applyFont="1" applyFill="1" applyBorder="1" applyAlignment="1">
      <alignment horizontal="justify" vertical="top" wrapText="1"/>
    </xf>
    <xf numFmtId="0" fontId="0" fillId="0" borderId="0" xfId="0" applyAlignment="1">
      <alignment wrapText="1"/>
    </xf>
    <xf numFmtId="4" fontId="39" fillId="35" borderId="43" xfId="0" applyNumberFormat="1" applyFont="1" applyFill="1" applyBorder="1" applyAlignment="1">
      <alignment horizontal="justify" vertical="center" wrapText="1"/>
    </xf>
    <xf numFmtId="0" fontId="2" fillId="23" borderId="7" xfId="34" applyFill="1" applyBorder="1" applyAlignment="1">
      <alignment vertical="center" wrapText="1"/>
    </xf>
    <xf numFmtId="176" fontId="1" fillId="0" borderId="7" xfId="0" applyNumberFormat="1" applyFont="1" applyFill="1" applyBorder="1" applyAlignment="1">
      <alignment vertical="top"/>
    </xf>
    <xf numFmtId="166" fontId="1" fillId="0" borderId="7" xfId="34" applyNumberFormat="1" applyFont="1" applyFill="1" applyBorder="1" applyAlignment="1">
      <alignment vertical="top" wrapText="1"/>
    </xf>
    <xf numFmtId="167" fontId="1" fillId="0" borderId="7" xfId="38" applyNumberFormat="1" applyFont="1" applyFill="1" applyBorder="1" applyAlignment="1" applyProtection="1">
      <alignment horizontal="center" vertical="top" wrapText="1"/>
    </xf>
    <xf numFmtId="166" fontId="0" fillId="0" borderId="7" xfId="0" applyNumberFormat="1" applyFill="1" applyBorder="1" applyAlignment="1">
      <alignment vertical="top"/>
    </xf>
    <xf numFmtId="0" fontId="0" fillId="0" borderId="7" xfId="0" applyBorder="1" applyAlignment="1">
      <alignment horizontal="justify" vertical="center" wrapText="1"/>
    </xf>
    <xf numFmtId="165" fontId="0" fillId="0" borderId="7" xfId="0" applyNumberFormat="1" applyBorder="1" applyAlignment="1">
      <alignment vertical="center"/>
    </xf>
    <xf numFmtId="14" fontId="0" fillId="0" borderId="7" xfId="0" applyNumberFormat="1" applyBorder="1" applyAlignment="1">
      <alignment vertical="center"/>
    </xf>
    <xf numFmtId="14" fontId="0" fillId="0" borderId="7" xfId="0" applyNumberFormat="1" applyBorder="1" applyAlignment="1">
      <alignment horizontal="center" vertical="center"/>
    </xf>
    <xf numFmtId="166" fontId="0" fillId="0" borderId="7" xfId="0" applyNumberFormat="1" applyBorder="1" applyAlignment="1">
      <alignment horizontal="center" vertical="center"/>
    </xf>
    <xf numFmtId="14" fontId="0" fillId="0" borderId="7" xfId="0" applyNumberFormat="1" applyBorder="1" applyAlignment="1">
      <alignment vertical="top"/>
    </xf>
    <xf numFmtId="166" fontId="0" fillId="0" borderId="7" xfId="0" applyNumberFormat="1" applyBorder="1" applyAlignment="1">
      <alignment horizontal="center" vertical="top"/>
    </xf>
    <xf numFmtId="14" fontId="0" fillId="0" borderId="7" xfId="0" applyNumberFormat="1" applyBorder="1" applyAlignment="1">
      <alignment horizontal="center" vertical="top"/>
    </xf>
    <xf numFmtId="166" fontId="0" fillId="0" borderId="7" xfId="0" applyNumberFormat="1" applyBorder="1" applyAlignment="1">
      <alignment horizontal="left" vertical="center" wrapText="1"/>
    </xf>
    <xf numFmtId="0" fontId="15" fillId="0" borderId="7" xfId="34" applyFont="1" applyBorder="1" applyAlignment="1">
      <alignment horizontal="justify" vertical="center"/>
    </xf>
    <xf numFmtId="14" fontId="0" fillId="0" borderId="7" xfId="0" applyNumberFormat="1" applyBorder="1" applyAlignment="1">
      <alignment horizontal="left" vertical="center" wrapText="1"/>
    </xf>
    <xf numFmtId="167" fontId="20" fillId="0" borderId="7" xfId="30" applyNumberFormat="1" applyFont="1" applyFill="1" applyBorder="1" applyAlignment="1">
      <alignment horizontal="right" vertical="top"/>
    </xf>
    <xf numFmtId="0" fontId="16" fillId="23" borderId="44" xfId="34" applyFont="1" applyFill="1" applyBorder="1" applyAlignment="1">
      <alignment horizontal="justify" vertical="top" wrapText="1"/>
    </xf>
    <xf numFmtId="3" fontId="37" fillId="35" borderId="7" xfId="0" applyNumberFormat="1" applyFont="1" applyFill="1" applyBorder="1" applyAlignment="1">
      <alignment horizontal="right" vertical="top" wrapText="1"/>
    </xf>
    <xf numFmtId="3" fontId="1" fillId="0" borderId="0" xfId="0" applyNumberFormat="1" applyFont="1" applyFill="1" applyAlignment="1">
      <alignment vertical="top"/>
    </xf>
    <xf numFmtId="3" fontId="1" fillId="0" borderId="7" xfId="0" applyNumberFormat="1" applyFont="1" applyFill="1" applyBorder="1" applyAlignment="1">
      <alignment vertical="top"/>
    </xf>
    <xf numFmtId="1" fontId="1" fillId="23" borderId="7" xfId="30" applyNumberFormat="1" applyFont="1" applyFill="1" applyBorder="1" applyAlignment="1" applyProtection="1">
      <alignment horizontal="justify" vertical="top" wrapText="1"/>
    </xf>
    <xf numFmtId="0" fontId="1" fillId="0" borderId="7" xfId="0" applyFont="1" applyBorder="1" applyAlignment="1">
      <alignment vertical="top" wrapText="1"/>
    </xf>
    <xf numFmtId="168" fontId="1" fillId="23" borderId="7" xfId="0" applyNumberFormat="1" applyFont="1" applyFill="1" applyBorder="1" applyAlignment="1">
      <alignment horizontal="center" vertical="top"/>
    </xf>
    <xf numFmtId="167" fontId="2" fillId="23" borderId="0" xfId="34" applyNumberFormat="1" applyFill="1" applyAlignment="1">
      <alignment vertical="top"/>
    </xf>
    <xf numFmtId="165" fontId="1" fillId="23" borderId="7" xfId="34" applyNumberFormat="1" applyFont="1" applyFill="1" applyBorder="1" applyAlignment="1">
      <alignment horizontal="justify" vertical="top" wrapText="1"/>
    </xf>
    <xf numFmtId="0" fontId="0" fillId="23" borderId="0" xfId="0" applyFill="1"/>
    <xf numFmtId="167" fontId="37" fillId="0" borderId="7" xfId="0" applyNumberFormat="1" applyFont="1" applyBorder="1" applyAlignment="1">
      <alignment vertical="top"/>
    </xf>
    <xf numFmtId="167" fontId="1" fillId="0" borderId="7" xfId="30" applyNumberFormat="1" applyFont="1" applyFill="1" applyBorder="1" applyAlignment="1">
      <alignment horizontal="right" vertical="top"/>
    </xf>
    <xf numFmtId="167" fontId="1" fillId="0" borderId="7" xfId="30" applyNumberFormat="1" applyFont="1" applyFill="1" applyBorder="1" applyAlignment="1">
      <alignment horizontal="right" vertical="top" wrapText="1"/>
    </xf>
    <xf numFmtId="167" fontId="1" fillId="0" borderId="7" xfId="30" applyNumberFormat="1" applyFont="1" applyFill="1" applyBorder="1" applyAlignment="1" applyProtection="1">
      <alignment horizontal="right" vertical="top" wrapText="1"/>
    </xf>
    <xf numFmtId="14" fontId="1" fillId="0" borderId="7" xfId="0" applyNumberFormat="1" applyFont="1" applyFill="1" applyBorder="1" applyAlignment="1">
      <alignment horizontal="right" vertical="top"/>
    </xf>
    <xf numFmtId="0" fontId="1" fillId="0" borderId="16" xfId="0" applyFont="1" applyFill="1" applyBorder="1" applyAlignment="1">
      <alignment horizontal="justify" vertical="top" wrapText="1"/>
    </xf>
    <xf numFmtId="0" fontId="20" fillId="0" borderId="7" xfId="0" applyFont="1" applyFill="1" applyBorder="1"/>
    <xf numFmtId="167" fontId="20" fillId="0" borderId="7" xfId="0" applyNumberFormat="1" applyFont="1" applyFill="1" applyBorder="1"/>
    <xf numFmtId="176" fontId="1" fillId="0" borderId="7" xfId="34" applyNumberFormat="1" applyFont="1" applyFill="1" applyBorder="1" applyAlignment="1">
      <alignment vertical="top" wrapText="1"/>
    </xf>
    <xf numFmtId="176" fontId="0" fillId="0" borderId="7" xfId="0" applyNumberFormat="1" applyFill="1" applyBorder="1" applyAlignment="1">
      <alignment vertical="top"/>
    </xf>
    <xf numFmtId="176" fontId="1" fillId="0" borderId="7" xfId="0" applyNumberFormat="1" applyFont="1" applyFill="1" applyBorder="1" applyAlignment="1">
      <alignment horizontal="right" vertical="top" wrapText="1"/>
    </xf>
    <xf numFmtId="0" fontId="1" fillId="0" borderId="7" xfId="0" applyFont="1" applyFill="1" applyBorder="1" applyAlignment="1">
      <alignment horizontal="justify" vertical="top" wrapText="1"/>
    </xf>
    <xf numFmtId="0" fontId="0" fillId="0" borderId="0" xfId="0" applyFill="1"/>
    <xf numFmtId="0" fontId="38" fillId="46" borderId="7" xfId="0" applyFont="1" applyFill="1" applyBorder="1" applyAlignment="1">
      <alignment horizontal="center" vertical="center" wrapText="1"/>
    </xf>
    <xf numFmtId="3" fontId="38" fillId="46" borderId="7" xfId="0" applyNumberFormat="1" applyFont="1" applyFill="1" applyBorder="1" applyAlignment="1">
      <alignment horizontal="right" vertical="center" wrapText="1"/>
    </xf>
    <xf numFmtId="3" fontId="17" fillId="46" borderId="7" xfId="0" applyNumberFormat="1" applyFont="1" applyFill="1" applyBorder="1" applyAlignment="1">
      <alignment horizontal="center" vertical="center" wrapText="1"/>
    </xf>
    <xf numFmtId="9" fontId="17" fillId="46" borderId="7" xfId="42" applyFont="1" applyFill="1" applyBorder="1" applyAlignment="1">
      <alignment horizontal="center" vertical="center" wrapText="1"/>
    </xf>
    <xf numFmtId="1" fontId="1" fillId="0" borderId="7" xfId="0" applyNumberFormat="1" applyFont="1" applyFill="1" applyBorder="1" applyAlignment="1">
      <alignment horizontal="center" vertical="top" wrapText="1"/>
    </xf>
    <xf numFmtId="49" fontId="1" fillId="0" borderId="7" xfId="33" applyNumberFormat="1" applyFont="1" applyFill="1" applyBorder="1" applyAlignment="1">
      <alignment horizontal="justify" vertical="top"/>
    </xf>
    <xf numFmtId="49" fontId="1" fillId="0" borderId="7" xfId="34" applyNumberFormat="1" applyFont="1" applyFill="1" applyBorder="1" applyAlignment="1">
      <alignment horizontal="center" vertical="top" wrapText="1"/>
    </xf>
    <xf numFmtId="49" fontId="1" fillId="0" borderId="7" xfId="34" applyNumberFormat="1" applyFont="1" applyFill="1" applyBorder="1" applyAlignment="1">
      <alignment horizontal="justify" vertical="top" wrapText="1"/>
    </xf>
    <xf numFmtId="49" fontId="1" fillId="0" borderId="7" xfId="34" applyNumberFormat="1" applyFont="1" applyFill="1" applyBorder="1" applyAlignment="1">
      <alignment horizontal="right" vertical="top" wrapText="1"/>
    </xf>
    <xf numFmtId="49" fontId="1" fillId="0" borderId="7" xfId="34" applyNumberFormat="1" applyFont="1" applyFill="1" applyBorder="1" applyAlignment="1">
      <alignment horizontal="left" vertical="top" wrapText="1"/>
    </xf>
    <xf numFmtId="0" fontId="1" fillId="0" borderId="7" xfId="34" applyFont="1" applyFill="1" applyBorder="1" applyAlignment="1">
      <alignment horizontal="left" vertical="top" wrapText="1"/>
    </xf>
    <xf numFmtId="176" fontId="1" fillId="0" borderId="7" xfId="0" applyNumberFormat="1" applyFont="1" applyFill="1" applyBorder="1" applyAlignment="1">
      <alignment horizontal="right" vertical="top"/>
    </xf>
    <xf numFmtId="166" fontId="1" fillId="0" borderId="7" xfId="0" applyNumberFormat="1" applyFont="1" applyFill="1" applyBorder="1" applyAlignment="1">
      <alignment horizontal="center" vertical="top"/>
    </xf>
    <xf numFmtId="0" fontId="1" fillId="0" borderId="7" xfId="0" applyFont="1" applyFill="1" applyBorder="1" applyAlignment="1">
      <alignment horizontal="left" vertical="top" wrapText="1"/>
    </xf>
    <xf numFmtId="0" fontId="1" fillId="0" borderId="7" xfId="0" applyNumberFormat="1" applyFont="1" applyFill="1" applyBorder="1" applyAlignment="1" applyProtection="1">
      <alignment horizontal="justify" vertical="top" wrapText="1"/>
    </xf>
    <xf numFmtId="0" fontId="1" fillId="0" borderId="16" xfId="34" applyFont="1" applyFill="1" applyBorder="1" applyAlignment="1">
      <alignment horizontal="justify" vertical="top" wrapText="1"/>
    </xf>
    <xf numFmtId="0" fontId="2" fillId="0" borderId="7" xfId="34" applyFill="1" applyBorder="1" applyAlignment="1">
      <alignment horizontal="justify" vertical="top"/>
    </xf>
    <xf numFmtId="0" fontId="2" fillId="0" borderId="7" xfId="34" applyFill="1" applyBorder="1" applyAlignment="1">
      <alignment vertical="top" wrapText="1"/>
    </xf>
    <xf numFmtId="0" fontId="1" fillId="0" borderId="7" xfId="0" applyFont="1" applyFill="1" applyBorder="1" applyAlignment="1">
      <alignment horizontal="justify" vertical="top"/>
    </xf>
    <xf numFmtId="0" fontId="2" fillId="0" borderId="7" xfId="34" applyFill="1" applyBorder="1" applyAlignment="1">
      <alignment vertical="center"/>
    </xf>
    <xf numFmtId="0" fontId="2" fillId="0" borderId="0" xfId="34" applyFill="1" applyAlignment="1">
      <alignment vertical="center"/>
    </xf>
    <xf numFmtId="0" fontId="0" fillId="0" borderId="0" xfId="0" applyFill="1" applyAlignment="1">
      <alignment vertical="center"/>
    </xf>
    <xf numFmtId="4" fontId="0" fillId="0" borderId="0" xfId="0" applyNumberFormat="1" applyBorder="1"/>
    <xf numFmtId="3" fontId="23" fillId="0" borderId="29" xfId="0" applyNumberFormat="1" applyFont="1" applyFill="1" applyBorder="1" applyAlignment="1" applyProtection="1">
      <alignment horizontal="right" vertical="top" wrapText="1"/>
    </xf>
    <xf numFmtId="3" fontId="23" fillId="0" borderId="29" xfId="0" applyNumberFormat="1" applyFont="1" applyFill="1" applyBorder="1" applyAlignment="1" applyProtection="1">
      <alignment horizontal="right" vertical="top"/>
    </xf>
    <xf numFmtId="3" fontId="23" fillId="0" borderId="33" xfId="0" applyNumberFormat="1" applyFont="1" applyFill="1" applyBorder="1" applyAlignment="1" applyProtection="1">
      <alignment horizontal="right" vertical="top" wrapText="1"/>
    </xf>
    <xf numFmtId="3" fontId="23" fillId="0" borderId="18" xfId="0" applyNumberFormat="1" applyFont="1" applyFill="1" applyBorder="1" applyAlignment="1" applyProtection="1">
      <alignment horizontal="right" vertical="top"/>
    </xf>
    <xf numFmtId="3" fontId="23" fillId="0" borderId="22" xfId="0" applyNumberFormat="1" applyFont="1" applyFill="1" applyBorder="1" applyAlignment="1" applyProtection="1">
      <alignment vertical="top"/>
    </xf>
    <xf numFmtId="3" fontId="23" fillId="0" borderId="17" xfId="0" applyNumberFormat="1" applyFont="1" applyFill="1" applyBorder="1" applyAlignment="1" applyProtection="1">
      <alignment vertical="top"/>
    </xf>
    <xf numFmtId="3" fontId="23" fillId="0" borderId="34" xfId="0" applyNumberFormat="1" applyFont="1" applyFill="1" applyBorder="1" applyAlignment="1" applyProtection="1">
      <alignment horizontal="right" vertical="top"/>
    </xf>
    <xf numFmtId="3" fontId="23" fillId="0" borderId="28" xfId="0" applyNumberFormat="1" applyFont="1" applyFill="1" applyBorder="1" applyAlignment="1" applyProtection="1">
      <alignment horizontal="right" vertical="top"/>
    </xf>
    <xf numFmtId="3" fontId="23" fillId="0" borderId="22" xfId="0" applyNumberFormat="1" applyFont="1" applyFill="1" applyBorder="1" applyAlignment="1" applyProtection="1">
      <alignment horizontal="right" vertical="top"/>
    </xf>
    <xf numFmtId="3" fontId="23" fillId="0" borderId="35" xfId="0" applyNumberFormat="1" applyFont="1" applyFill="1" applyBorder="1" applyAlignment="1" applyProtection="1">
      <alignment horizontal="right" vertical="top"/>
    </xf>
    <xf numFmtId="3" fontId="23" fillId="0" borderId="9" xfId="0" applyNumberFormat="1" applyFont="1" applyFill="1" applyBorder="1" applyAlignment="1" applyProtection="1">
      <alignment horizontal="right" vertical="top"/>
    </xf>
    <xf numFmtId="3" fontId="23" fillId="0" borderId="19" xfId="0" applyNumberFormat="1" applyFont="1" applyFill="1" applyBorder="1" applyAlignment="1" applyProtection="1">
      <alignment horizontal="right" vertical="top"/>
    </xf>
    <xf numFmtId="3" fontId="23" fillId="0" borderId="22" xfId="0" applyNumberFormat="1" applyFont="1" applyFill="1" applyBorder="1" applyAlignment="1" applyProtection="1">
      <alignment vertical="top" wrapText="1"/>
    </xf>
    <xf numFmtId="3" fontId="23" fillId="0" borderId="9" xfId="0" applyNumberFormat="1" applyFont="1" applyFill="1" applyBorder="1" applyAlignment="1" applyProtection="1">
      <alignment horizontal="right" vertical="top" wrapText="1"/>
    </xf>
    <xf numFmtId="3" fontId="23" fillId="0" borderId="17" xfId="0" applyNumberFormat="1" applyFont="1" applyFill="1" applyBorder="1" applyAlignment="1" applyProtection="1">
      <alignment horizontal="right" vertical="top" wrapText="1"/>
    </xf>
    <xf numFmtId="3" fontId="23" fillId="0" borderId="8" xfId="0" applyNumberFormat="1" applyFont="1" applyFill="1" applyBorder="1" applyAlignment="1" applyProtection="1">
      <alignment horizontal="right" vertical="top" wrapText="1"/>
    </xf>
    <xf numFmtId="3" fontId="23" fillId="0" borderId="30" xfId="0" applyNumberFormat="1" applyFont="1" applyFill="1" applyBorder="1" applyAlignment="1" applyProtection="1">
      <alignment horizontal="right" vertical="top" wrapText="1"/>
    </xf>
    <xf numFmtId="3" fontId="23" fillId="0" borderId="31" xfId="0" applyNumberFormat="1" applyFont="1" applyFill="1" applyBorder="1" applyAlignment="1" applyProtection="1">
      <alignment horizontal="right" vertical="top" wrapText="1"/>
    </xf>
    <xf numFmtId="3" fontId="23" fillId="0" borderId="34" xfId="0" applyNumberFormat="1" applyFont="1" applyFill="1" applyBorder="1" applyAlignment="1" applyProtection="1">
      <alignment vertical="top"/>
    </xf>
    <xf numFmtId="3" fontId="18" fillId="22" borderId="36" xfId="0" applyNumberFormat="1" applyFont="1" applyFill="1" applyBorder="1" applyAlignment="1" applyProtection="1">
      <alignment horizontal="right" vertical="top"/>
    </xf>
    <xf numFmtId="3" fontId="23" fillId="23" borderId="23" xfId="0" applyNumberFormat="1" applyFont="1" applyFill="1" applyBorder="1" applyAlignment="1" applyProtection="1">
      <alignment horizontal="right" vertical="top"/>
    </xf>
    <xf numFmtId="3" fontId="18" fillId="22" borderId="7" xfId="0" applyNumberFormat="1" applyFont="1" applyFill="1" applyBorder="1" applyAlignment="1" applyProtection="1">
      <alignment horizontal="right" vertical="top"/>
    </xf>
    <xf numFmtId="3" fontId="23" fillId="0" borderId="17" xfId="0" applyNumberFormat="1" applyFont="1" applyFill="1" applyBorder="1" applyAlignment="1" applyProtection="1">
      <alignment horizontal="right" vertical="top"/>
    </xf>
    <xf numFmtId="3" fontId="23" fillId="0" borderId="39" xfId="0" applyNumberFormat="1" applyFont="1" applyFill="1" applyBorder="1" applyAlignment="1" applyProtection="1">
      <alignment vertical="top"/>
    </xf>
    <xf numFmtId="0" fontId="1" fillId="0" borderId="16" xfId="34" applyFont="1" applyFill="1" applyBorder="1" applyAlignment="1">
      <alignment vertical="top" wrapText="1"/>
    </xf>
    <xf numFmtId="0" fontId="1" fillId="0" borderId="7" xfId="34" applyFont="1" applyFill="1" applyBorder="1" applyAlignment="1">
      <alignment horizontal="center" vertical="top" wrapText="1"/>
    </xf>
    <xf numFmtId="0" fontId="1" fillId="0" borderId="7" xfId="0" applyFont="1" applyFill="1" applyBorder="1" applyAlignment="1">
      <alignment vertical="top" wrapText="1"/>
    </xf>
    <xf numFmtId="0" fontId="1" fillId="0" borderId="7" xfId="0" applyFont="1" applyFill="1" applyBorder="1" applyAlignment="1">
      <alignment horizontal="right" vertical="top" wrapText="1"/>
    </xf>
    <xf numFmtId="166" fontId="1" fillId="0" borderId="7" xfId="34" applyNumberFormat="1" applyFont="1" applyFill="1" applyBorder="1" applyAlignment="1">
      <alignment horizontal="center" vertical="top" wrapText="1"/>
    </xf>
    <xf numFmtId="0" fontId="20" fillId="0" borderId="0" xfId="0" applyFont="1" applyFill="1"/>
    <xf numFmtId="167" fontId="2" fillId="0" borderId="0" xfId="34" applyNumberFormat="1" applyFill="1" applyAlignment="1">
      <alignment vertical="center"/>
    </xf>
    <xf numFmtId="176" fontId="1" fillId="0" borderId="7" xfId="0" applyNumberFormat="1" applyFont="1" applyFill="1" applyBorder="1" applyAlignment="1" applyProtection="1">
      <alignment horizontal="center" vertical="top" wrapText="1"/>
    </xf>
    <xf numFmtId="176" fontId="1" fillId="0" borderId="7" xfId="0" applyNumberFormat="1" applyFont="1" applyFill="1" applyBorder="1" applyAlignment="1" applyProtection="1">
      <alignment horizontal="right" vertical="top" wrapText="1"/>
    </xf>
    <xf numFmtId="1" fontId="1" fillId="0" borderId="7" xfId="38" applyNumberFormat="1" applyFont="1" applyFill="1" applyBorder="1" applyAlignment="1" applyProtection="1">
      <alignment horizontal="justify" vertical="top" wrapText="1"/>
    </xf>
    <xf numFmtId="0" fontId="1" fillId="0" borderId="7" xfId="0" applyFont="1" applyFill="1" applyBorder="1"/>
    <xf numFmtId="0" fontId="1" fillId="0" borderId="0" xfId="0" applyFont="1" applyFill="1"/>
    <xf numFmtId="0" fontId="1" fillId="0" borderId="7" xfId="0" applyFont="1" applyFill="1" applyBorder="1" applyAlignment="1">
      <alignment horizontal="center" vertical="top" wrapText="1"/>
    </xf>
    <xf numFmtId="14" fontId="1" fillId="0" borderId="7" xfId="34" applyNumberFormat="1" applyFont="1" applyFill="1" applyBorder="1" applyAlignment="1">
      <alignment horizontal="right" vertical="top" wrapText="1"/>
    </xf>
    <xf numFmtId="167" fontId="1" fillId="0" borderId="7" xfId="30" applyNumberFormat="1" applyFont="1" applyFill="1" applyBorder="1" applyAlignment="1">
      <alignment horizontal="center" vertical="top"/>
    </xf>
    <xf numFmtId="0" fontId="30" fillId="0" borderId="7" xfId="34" applyFont="1" applyFill="1" applyBorder="1" applyAlignment="1">
      <alignment horizontal="justify" vertical="top"/>
    </xf>
    <xf numFmtId="0" fontId="46" fillId="0" borderId="7" xfId="34" applyFont="1" applyFill="1" applyBorder="1" applyAlignment="1">
      <alignment horizontal="justify" vertical="top" wrapText="1"/>
    </xf>
    <xf numFmtId="0" fontId="30" fillId="0" borderId="7" xfId="34" applyFont="1" applyFill="1" applyBorder="1" applyAlignment="1">
      <alignment vertical="top"/>
    </xf>
    <xf numFmtId="0" fontId="30" fillId="0" borderId="0" xfId="34" applyFont="1" applyFill="1" applyAlignment="1">
      <alignment vertical="top"/>
    </xf>
    <xf numFmtId="0" fontId="1" fillId="0" borderId="0" xfId="0" applyFont="1" applyFill="1" applyAlignment="1">
      <alignment vertical="top"/>
    </xf>
    <xf numFmtId="168" fontId="1" fillId="0" borderId="7" xfId="0" applyNumberFormat="1" applyFont="1" applyFill="1" applyBorder="1" applyAlignment="1">
      <alignment horizontal="right" vertical="top"/>
    </xf>
    <xf numFmtId="0" fontId="2" fillId="0" borderId="7" xfId="34" applyFont="1" applyFill="1" applyBorder="1" applyAlignment="1">
      <alignment horizontal="justify" vertical="top" wrapText="1"/>
    </xf>
    <xf numFmtId="0" fontId="1" fillId="0" borderId="16" xfId="34" applyFont="1" applyFill="1" applyBorder="1" applyAlignment="1">
      <alignment horizontal="justify" vertical="top"/>
    </xf>
    <xf numFmtId="167" fontId="1" fillId="0" borderId="43" xfId="30" applyNumberFormat="1" applyFont="1" applyFill="1" applyBorder="1" applyAlignment="1" applyProtection="1">
      <alignment horizontal="right" vertical="top" wrapText="1"/>
    </xf>
    <xf numFmtId="0" fontId="1" fillId="0" borderId="7" xfId="0" applyNumberFormat="1" applyFont="1" applyFill="1" applyBorder="1" applyAlignment="1">
      <alignment horizontal="center" vertical="top"/>
    </xf>
    <xf numFmtId="3" fontId="1" fillId="0" borderId="7" xfId="34" applyNumberFormat="1" applyFont="1" applyFill="1" applyBorder="1" applyAlignment="1">
      <alignment horizontal="justify" vertical="top" wrapText="1"/>
    </xf>
    <xf numFmtId="3" fontId="1" fillId="0" borderId="16" xfId="34" applyNumberFormat="1" applyFont="1" applyFill="1" applyBorder="1" applyAlignment="1">
      <alignment horizontal="justify" vertical="top" wrapText="1"/>
    </xf>
    <xf numFmtId="176" fontId="1" fillId="0" borderId="7" xfId="0" applyNumberFormat="1" applyFont="1" applyFill="1" applyBorder="1" applyAlignment="1">
      <alignment horizontal="center" vertical="top" wrapText="1"/>
    </xf>
    <xf numFmtId="166" fontId="1" fillId="0" borderId="7" xfId="0" applyNumberFormat="1" applyFont="1" applyFill="1" applyBorder="1" applyAlignment="1">
      <alignment horizontal="center" vertical="top" wrapText="1"/>
    </xf>
    <xf numFmtId="0" fontId="1" fillId="0" borderId="7" xfId="0" applyFont="1" applyFill="1" applyBorder="1" applyAlignment="1">
      <alignment vertical="top"/>
    </xf>
    <xf numFmtId="0" fontId="2" fillId="0" borderId="7" xfId="34" applyFill="1" applyBorder="1" applyAlignment="1">
      <alignment horizontal="justify" vertical="top" wrapText="1"/>
    </xf>
    <xf numFmtId="0" fontId="2" fillId="0" borderId="7" xfId="34" applyFill="1" applyBorder="1" applyAlignment="1">
      <alignment vertical="top"/>
    </xf>
    <xf numFmtId="0" fontId="1" fillId="0" borderId="7" xfId="34" applyFont="1" applyFill="1" applyBorder="1" applyAlignment="1">
      <alignment vertical="top" wrapText="1"/>
    </xf>
    <xf numFmtId="5" fontId="1" fillId="0" borderId="7" xfId="30" applyNumberFormat="1" applyFont="1" applyFill="1" applyBorder="1" applyAlignment="1">
      <alignment horizontal="justify" vertical="top" wrapText="1"/>
    </xf>
    <xf numFmtId="14" fontId="1" fillId="0" borderId="16"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165" fontId="1" fillId="0" borderId="16" xfId="34" applyNumberFormat="1" applyFont="1" applyFill="1" applyBorder="1" applyAlignment="1">
      <alignment horizontal="justify" vertical="top" wrapText="1"/>
    </xf>
    <xf numFmtId="177" fontId="30" fillId="0" borderId="7" xfId="34" applyNumberFormat="1" applyFont="1" applyFill="1" applyBorder="1" applyAlignment="1">
      <alignment vertical="top"/>
    </xf>
    <xf numFmtId="177" fontId="30" fillId="0" borderId="0" xfId="34" applyNumberFormat="1" applyFont="1" applyFill="1" applyAlignment="1">
      <alignment vertical="top"/>
    </xf>
    <xf numFmtId="0" fontId="1" fillId="0" borderId="13" xfId="0" applyFont="1" applyBorder="1" applyAlignment="1">
      <alignment horizontal="left" wrapText="1"/>
    </xf>
    <xf numFmtId="0" fontId="0" fillId="0" borderId="0" xfId="0" applyBorder="1" applyAlignment="1">
      <alignment horizontal="left" wrapText="1"/>
    </xf>
    <xf numFmtId="0" fontId="0" fillId="0" borderId="23" xfId="0" applyBorder="1" applyAlignment="1">
      <alignment horizontal="left" wrapText="1"/>
    </xf>
    <xf numFmtId="0" fontId="17" fillId="0" borderId="11"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0" xfId="0" applyFont="1" applyBorder="1" applyAlignment="1">
      <alignment horizontal="center"/>
    </xf>
    <xf numFmtId="0" fontId="29" fillId="0" borderId="12" xfId="0" applyFont="1" applyBorder="1" applyAlignment="1">
      <alignment horizontal="center" vertical="center" wrapText="1"/>
    </xf>
    <xf numFmtId="0" fontId="29" fillId="23" borderId="12"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29" fillId="23" borderId="0" xfId="0" applyFont="1" applyFill="1" applyBorder="1" applyAlignment="1">
      <alignment horizontal="center" vertical="center" wrapText="1"/>
    </xf>
    <xf numFmtId="0" fontId="29" fillId="0" borderId="23" xfId="0" applyFont="1" applyBorder="1" applyAlignment="1">
      <alignment horizontal="center" vertical="center" wrapText="1"/>
    </xf>
    <xf numFmtId="0" fontId="18" fillId="0" borderId="15" xfId="0" applyFont="1" applyBorder="1" applyAlignment="1">
      <alignment horizontal="left"/>
    </xf>
    <xf numFmtId="0" fontId="18" fillId="23" borderId="15" xfId="0" applyFont="1" applyFill="1" applyBorder="1" applyAlignment="1">
      <alignment horizontal="left"/>
    </xf>
    <xf numFmtId="0" fontId="18" fillId="0" borderId="15" xfId="0" applyFont="1" applyBorder="1" applyAlignment="1">
      <alignment horizontal="center"/>
    </xf>
    <xf numFmtId="0" fontId="18" fillId="0" borderId="39" xfId="0" applyFont="1" applyBorder="1" applyAlignment="1">
      <alignment horizontal="left"/>
    </xf>
    <xf numFmtId="167" fontId="17" fillId="39" borderId="7" xfId="30" applyNumberFormat="1" applyFont="1" applyFill="1" applyBorder="1" applyAlignment="1">
      <alignment horizontal="center" vertical="center" wrapText="1"/>
    </xf>
    <xf numFmtId="167" fontId="17" fillId="39" borderId="43" xfId="30" applyNumberFormat="1" applyFont="1" applyFill="1" applyBorder="1" applyAlignment="1">
      <alignment horizontal="center" vertical="center" wrapText="1"/>
    </xf>
    <xf numFmtId="0" fontId="18" fillId="37" borderId="7" xfId="0" applyFont="1" applyFill="1" applyBorder="1" applyAlignment="1">
      <alignment horizontal="center" vertical="center" wrapText="1"/>
    </xf>
    <xf numFmtId="0" fontId="23" fillId="0" borderId="7" xfId="0" applyFont="1" applyBorder="1" applyAlignment="1">
      <alignment horizontal="center" vertical="center" wrapText="1"/>
    </xf>
    <xf numFmtId="0" fontId="18" fillId="0" borderId="7" xfId="0" applyFont="1" applyFill="1" applyBorder="1" applyAlignment="1" applyProtection="1">
      <alignment horizontal="center" vertical="center" wrapText="1"/>
      <protection locked="0"/>
    </xf>
    <xf numFmtId="0" fontId="17" fillId="39" borderId="7" xfId="0" applyFont="1" applyFill="1" applyBorder="1" applyAlignment="1">
      <alignment horizontal="center" vertical="center" wrapText="1"/>
    </xf>
    <xf numFmtId="0" fontId="37" fillId="0" borderId="7" xfId="30" applyNumberFormat="1" applyFont="1" applyBorder="1"/>
    <xf numFmtId="0" fontId="17" fillId="43" borderId="7" xfId="0" applyFont="1" applyFill="1" applyBorder="1" applyAlignment="1" applyProtection="1">
      <alignment horizontal="center" vertical="center" wrapText="1"/>
      <protection locked="0"/>
    </xf>
    <xf numFmtId="0" fontId="17" fillId="43" borderId="43" xfId="0" applyFont="1" applyFill="1" applyBorder="1" applyAlignment="1" applyProtection="1">
      <alignment horizontal="center" vertical="center" wrapText="1"/>
      <protection locked="0"/>
    </xf>
    <xf numFmtId="0" fontId="17" fillId="41" borderId="37" xfId="0" applyFont="1" applyFill="1" applyBorder="1" applyAlignment="1" applyProtection="1">
      <alignment horizontal="center" vertical="center" wrapText="1"/>
      <protection locked="0"/>
    </xf>
    <xf numFmtId="0" fontId="17" fillId="41" borderId="20" xfId="0" applyFont="1" applyFill="1" applyBorder="1" applyAlignment="1" applyProtection="1">
      <alignment horizontal="center" vertical="center" wrapText="1"/>
      <protection locked="0"/>
    </xf>
    <xf numFmtId="0" fontId="17" fillId="39" borderId="43" xfId="0" applyFont="1" applyFill="1" applyBorder="1" applyAlignment="1">
      <alignment horizontal="center" vertical="center" wrapText="1"/>
    </xf>
    <xf numFmtId="0" fontId="17" fillId="43" borderId="7" xfId="0" applyFont="1" applyFill="1" applyBorder="1" applyAlignment="1">
      <alignment horizontal="center" vertical="center" wrapText="1"/>
    </xf>
    <xf numFmtId="0" fontId="17" fillId="43" borderId="7" xfId="0" applyFont="1" applyFill="1" applyBorder="1" applyAlignment="1">
      <alignment horizontal="center" vertical="top" wrapText="1"/>
    </xf>
    <xf numFmtId="0" fontId="17" fillId="37" borderId="7" xfId="0" applyFont="1" applyFill="1" applyBorder="1" applyAlignment="1" applyProtection="1">
      <alignment horizontal="center" vertical="center" wrapText="1"/>
      <protection locked="0"/>
    </xf>
    <xf numFmtId="0" fontId="17" fillId="37" borderId="43" xfId="0" applyFont="1" applyFill="1" applyBorder="1" applyAlignment="1" applyProtection="1">
      <alignment horizontal="center" vertical="center" wrapText="1"/>
      <protection locked="0"/>
    </xf>
    <xf numFmtId="0" fontId="17" fillId="38" borderId="7" xfId="0" applyFont="1" applyFill="1" applyBorder="1" applyAlignment="1" applyProtection="1">
      <alignment horizontal="center" vertical="center" textRotation="90" wrapText="1"/>
      <protection locked="0"/>
    </xf>
    <xf numFmtId="0" fontId="17" fillId="38" borderId="43" xfId="0" applyFont="1" applyFill="1" applyBorder="1" applyAlignment="1" applyProtection="1">
      <alignment horizontal="center" vertical="center" textRotation="90" wrapText="1"/>
      <protection locked="0"/>
    </xf>
    <xf numFmtId="1" fontId="17" fillId="44" borderId="7" xfId="0" applyNumberFormat="1" applyFont="1" applyFill="1" applyBorder="1" applyAlignment="1" applyProtection="1">
      <alignment horizontal="center" vertical="center" wrapText="1"/>
      <protection locked="0"/>
    </xf>
    <xf numFmtId="1" fontId="17" fillId="44" borderId="43" xfId="0" applyNumberFormat="1" applyFont="1" applyFill="1" applyBorder="1" applyAlignment="1" applyProtection="1">
      <alignment horizontal="center" vertical="center" wrapText="1"/>
      <protection locked="0"/>
    </xf>
    <xf numFmtId="0" fontId="17" fillId="40" borderId="7" xfId="0" applyFont="1" applyFill="1" applyBorder="1" applyAlignment="1" applyProtection="1">
      <alignment horizontal="center" vertical="center" wrapText="1"/>
      <protection locked="0"/>
    </xf>
    <xf numFmtId="0" fontId="17" fillId="40" borderId="43" xfId="0" applyFont="1" applyFill="1" applyBorder="1" applyAlignment="1" applyProtection="1">
      <alignment horizontal="center" vertical="center" wrapText="1"/>
      <protection locked="0"/>
    </xf>
    <xf numFmtId="0" fontId="17" fillId="37" borderId="16" xfId="0" applyFont="1" applyFill="1" applyBorder="1" applyAlignment="1">
      <alignment horizontal="center" vertical="center" wrapText="1"/>
    </xf>
    <xf numFmtId="0" fontId="17" fillId="37" borderId="37" xfId="0" applyFont="1" applyFill="1" applyBorder="1" applyAlignment="1">
      <alignment horizontal="center" vertical="center" wrapText="1"/>
    </xf>
    <xf numFmtId="0" fontId="17" fillId="37" borderId="20" xfId="0" applyFont="1" applyFill="1" applyBorder="1" applyAlignment="1">
      <alignment horizontal="center" vertical="center" wrapText="1"/>
    </xf>
    <xf numFmtId="0" fontId="17" fillId="39" borderId="16" xfId="0" applyFont="1" applyFill="1" applyBorder="1" applyAlignment="1">
      <alignment horizontal="center" vertical="center" wrapText="1"/>
    </xf>
    <xf numFmtId="0" fontId="17" fillId="39" borderId="37" xfId="0" applyFont="1" applyFill="1" applyBorder="1" applyAlignment="1">
      <alignment horizontal="center" vertical="center" wrapText="1"/>
    </xf>
    <xf numFmtId="0" fontId="17" fillId="39" borderId="20" xfId="0" applyFont="1" applyFill="1" applyBorder="1" applyAlignment="1">
      <alignment horizontal="center" vertical="center" wrapText="1"/>
    </xf>
    <xf numFmtId="0" fontId="17" fillId="41" borderId="7" xfId="0" applyFont="1" applyFill="1" applyBorder="1" applyAlignment="1" applyProtection="1">
      <alignment horizontal="center" vertical="center" wrapText="1"/>
      <protection locked="0"/>
    </xf>
    <xf numFmtId="0" fontId="17" fillId="41" borderId="43" xfId="0" applyFont="1" applyFill="1" applyBorder="1" applyAlignment="1" applyProtection="1">
      <alignment horizontal="center" vertical="center" wrapText="1"/>
      <protection locked="0"/>
    </xf>
    <xf numFmtId="0" fontId="17" fillId="41" borderId="44" xfId="0" applyFont="1" applyFill="1" applyBorder="1" applyAlignment="1" applyProtection="1">
      <alignment horizontal="center" vertical="center" wrapText="1"/>
      <protection locked="0"/>
    </xf>
    <xf numFmtId="0" fontId="17" fillId="37" borderId="7" xfId="0" applyFont="1" applyFill="1" applyBorder="1" applyAlignment="1">
      <alignment horizontal="center" vertical="center" wrapText="1"/>
    </xf>
    <xf numFmtId="0" fontId="17" fillId="37" borderId="44" xfId="0" applyFont="1" applyFill="1" applyBorder="1" applyAlignment="1" applyProtection="1">
      <alignment horizontal="center" vertical="center" wrapText="1"/>
      <protection locked="0"/>
    </xf>
    <xf numFmtId="171" fontId="17" fillId="42" borderId="43" xfId="0" applyNumberFormat="1" applyFont="1" applyFill="1" applyBorder="1" applyAlignment="1" applyProtection="1">
      <alignment horizontal="center" vertical="center" wrapText="1"/>
      <protection locked="0"/>
    </xf>
    <xf numFmtId="171" fontId="17" fillId="42" borderId="44" xfId="0" applyNumberFormat="1" applyFont="1" applyFill="1" applyBorder="1" applyAlignment="1" applyProtection="1">
      <alignment horizontal="center" vertical="center" wrapText="1"/>
      <protection locked="0"/>
    </xf>
    <xf numFmtId="49" fontId="17" fillId="39" borderId="7" xfId="0" applyNumberFormat="1" applyFont="1" applyFill="1" applyBorder="1" applyAlignment="1">
      <alignment horizontal="center" vertical="center" wrapText="1"/>
    </xf>
    <xf numFmtId="49" fontId="17" fillId="39" borderId="43" xfId="0" applyNumberFormat="1" applyFont="1" applyFill="1" applyBorder="1" applyAlignment="1">
      <alignment horizontal="center" vertical="center" wrapText="1"/>
    </xf>
    <xf numFmtId="0" fontId="17" fillId="37" borderId="7" xfId="0" applyNumberFormat="1" applyFont="1" applyFill="1" applyBorder="1" applyAlignment="1">
      <alignment horizontal="center" vertical="center" textRotation="90" wrapText="1"/>
    </xf>
    <xf numFmtId="0" fontId="17" fillId="37" borderId="43" xfId="0" applyNumberFormat="1" applyFont="1" applyFill="1" applyBorder="1" applyAlignment="1">
      <alignment horizontal="center" vertical="center" textRotation="90" wrapText="1"/>
    </xf>
    <xf numFmtId="167" fontId="17" fillId="40" borderId="7" xfId="30" applyNumberFormat="1" applyFont="1" applyFill="1" applyBorder="1" applyAlignment="1" applyProtection="1">
      <alignment horizontal="center" vertical="center" wrapText="1"/>
      <protection locked="0"/>
    </xf>
    <xf numFmtId="167" fontId="17" fillId="40" borderId="43" xfId="30" applyNumberFormat="1" applyFont="1" applyFill="1" applyBorder="1" applyAlignment="1" applyProtection="1">
      <alignment horizontal="center" vertical="center" wrapText="1"/>
      <protection locked="0"/>
    </xf>
    <xf numFmtId="0" fontId="37" fillId="0" borderId="7" xfId="0" applyFont="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167" fontId="23" fillId="0" borderId="7" xfId="30" applyNumberFormat="1" applyFont="1" applyBorder="1" applyAlignment="1">
      <alignment horizontal="center" vertical="center" wrapText="1"/>
    </xf>
    <xf numFmtId="14" fontId="37" fillId="23" borderId="43" xfId="0" applyNumberFormat="1" applyFont="1" applyFill="1" applyBorder="1" applyAlignment="1">
      <alignment horizontal="center" vertical="top"/>
    </xf>
    <xf numFmtId="14" fontId="37" fillId="23" borderId="44" xfId="0" applyNumberFormat="1" applyFont="1" applyFill="1" applyBorder="1" applyAlignment="1">
      <alignment horizontal="center" vertical="top"/>
    </xf>
    <xf numFmtId="14" fontId="37" fillId="23" borderId="45" xfId="0" applyNumberFormat="1" applyFont="1" applyFill="1" applyBorder="1" applyAlignment="1">
      <alignment horizontal="center" vertical="top"/>
    </xf>
    <xf numFmtId="3" fontId="37" fillId="35" borderId="7" xfId="0" applyNumberFormat="1" applyFont="1" applyFill="1" applyBorder="1" applyAlignment="1">
      <alignment horizontal="justify" vertical="top" wrapText="1"/>
    </xf>
    <xf numFmtId="0" fontId="16" fillId="23" borderId="43" xfId="34" applyFont="1" applyFill="1" applyBorder="1" applyAlignment="1">
      <alignment horizontal="justify" vertical="top" wrapText="1"/>
    </xf>
    <xf numFmtId="0" fontId="16" fillId="23" borderId="44" xfId="34" applyFont="1" applyFill="1" applyBorder="1" applyAlignment="1">
      <alignment horizontal="justify" vertical="top" wrapText="1"/>
    </xf>
    <xf numFmtId="0" fontId="37" fillId="23" borderId="43" xfId="0" applyFont="1" applyFill="1" applyBorder="1" applyAlignment="1">
      <alignment horizontal="justify" vertical="top" wrapText="1"/>
    </xf>
    <xf numFmtId="0" fontId="37" fillId="23" borderId="44" xfId="0" applyFont="1" applyFill="1" applyBorder="1" applyAlignment="1">
      <alignment horizontal="justify" vertical="top" wrapText="1"/>
    </xf>
    <xf numFmtId="3" fontId="37" fillId="23" borderId="7" xfId="0" applyNumberFormat="1" applyFont="1" applyFill="1" applyBorder="1" applyAlignment="1">
      <alignment horizontal="right" vertical="top" wrapText="1"/>
    </xf>
    <xf numFmtId="3" fontId="37" fillId="35" borderId="7" xfId="0" applyNumberFormat="1" applyFont="1" applyFill="1" applyBorder="1" applyAlignment="1">
      <alignment horizontal="right" vertical="top" wrapText="1"/>
    </xf>
    <xf numFmtId="3" fontId="36" fillId="35" borderId="43" xfId="0" applyNumberFormat="1" applyFont="1" applyFill="1" applyBorder="1" applyAlignment="1">
      <alignment horizontal="center" vertical="top" wrapText="1"/>
    </xf>
    <xf numFmtId="3" fontId="36" fillId="35" borderId="44" xfId="0" applyNumberFormat="1" applyFont="1" applyFill="1" applyBorder="1" applyAlignment="1">
      <alignment horizontal="center" vertical="top" wrapText="1"/>
    </xf>
    <xf numFmtId="3" fontId="36" fillId="35" borderId="45" xfId="0" applyNumberFormat="1" applyFont="1" applyFill="1" applyBorder="1" applyAlignment="1">
      <alignment horizontal="center" vertical="top" wrapText="1"/>
    </xf>
    <xf numFmtId="0" fontId="38" fillId="28" borderId="33" xfId="0" applyFont="1" applyFill="1" applyBorder="1" applyAlignment="1">
      <alignment horizontal="left" vertical="top" wrapText="1"/>
    </xf>
    <xf numFmtId="0" fontId="38" fillId="28" borderId="6" xfId="0" applyFont="1" applyFill="1" applyBorder="1" applyAlignment="1">
      <alignment horizontal="left" vertical="top" wrapText="1"/>
    </xf>
    <xf numFmtId="0" fontId="16" fillId="23" borderId="43" xfId="34" applyFont="1" applyFill="1" applyBorder="1" applyAlignment="1">
      <alignment horizontal="center" vertical="top" wrapText="1"/>
    </xf>
    <xf numFmtId="0" fontId="16" fillId="23" borderId="44" xfId="34" applyFont="1" applyFill="1" applyBorder="1" applyAlignment="1">
      <alignment horizontal="center" vertical="top" wrapText="1"/>
    </xf>
    <xf numFmtId="0" fontId="16" fillId="23" borderId="45" xfId="34" applyFont="1" applyFill="1" applyBorder="1" applyAlignment="1">
      <alignment horizontal="center" vertical="top" wrapText="1"/>
    </xf>
    <xf numFmtId="0" fontId="34" fillId="33" borderId="42" xfId="0" applyFont="1" applyFill="1" applyBorder="1" applyAlignment="1">
      <alignment horizontal="left"/>
    </xf>
    <xf numFmtId="0" fontId="34" fillId="33" borderId="0" xfId="0" applyFont="1" applyFill="1" applyBorder="1" applyAlignment="1">
      <alignment horizontal="left"/>
    </xf>
    <xf numFmtId="0" fontId="36" fillId="35" borderId="43" xfId="0" applyFont="1" applyFill="1" applyBorder="1" applyAlignment="1">
      <alignment horizontal="justify" vertical="top" wrapText="1"/>
    </xf>
    <xf numFmtId="0" fontId="36" fillId="35" borderId="44" xfId="0" applyFont="1" applyFill="1" applyBorder="1" applyAlignment="1">
      <alignment horizontal="justify" vertical="top"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xfId="42" builtinId="5"/>
    <cellStyle name="Porcentaje 2 2" xfId="41"/>
    <cellStyle name="Title" xfId="36"/>
    <cellStyle name="Total" xfId="37" builtinId="25" customBuiltin="1"/>
  </cellStyles>
  <dxfs count="0"/>
  <tableStyles count="0" defaultTableStyle="TableStyleMedium2" defaultPivotStyle="PivotStyleLight16"/>
  <colors>
    <mruColors>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1285875</xdr:colOff>
      <xdr:row>5</xdr:row>
      <xdr:rowOff>19050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257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21</xdr:row>
      <xdr:rowOff>166688</xdr:rowOff>
    </xdr:from>
    <xdr:ext cx="11105823" cy="2440476"/>
    <xdr:sp macro="" textlink="">
      <xdr:nvSpPr>
        <xdr:cNvPr id="3" name="Rectángulo 2"/>
        <xdr:cNvSpPr/>
      </xdr:nvSpPr>
      <xdr:spPr>
        <a:xfrm rot="19983748">
          <a:off x="0" y="702468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7796" cy="112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533400</xdr:colOff>
      <xdr:row>69</xdr:row>
      <xdr:rowOff>647700</xdr:rowOff>
    </xdr:from>
    <xdr:ext cx="11105823" cy="2440476"/>
    <xdr:sp macro="" textlink="">
      <xdr:nvSpPr>
        <xdr:cNvPr id="3" name="Rectángulo 2"/>
        <xdr:cNvSpPr/>
      </xdr:nvSpPr>
      <xdr:spPr>
        <a:xfrm rot="19983748">
          <a:off x="9982200" y="1264158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800100</xdr:colOff>
      <xdr:row>57</xdr:row>
      <xdr:rowOff>1219200</xdr:rowOff>
    </xdr:from>
    <xdr:ext cx="11105823" cy="2440476"/>
    <xdr:sp macro="" textlink="">
      <xdr:nvSpPr>
        <xdr:cNvPr id="4" name="Rectángulo 3"/>
        <xdr:cNvSpPr/>
      </xdr:nvSpPr>
      <xdr:spPr>
        <a:xfrm rot="19983748">
          <a:off x="9029700" y="1060323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9</xdr:col>
      <xdr:colOff>38100</xdr:colOff>
      <xdr:row>47</xdr:row>
      <xdr:rowOff>1638299</xdr:rowOff>
    </xdr:from>
    <xdr:ext cx="11105823" cy="2440476"/>
    <xdr:sp macro="" textlink="">
      <xdr:nvSpPr>
        <xdr:cNvPr id="5" name="Rectángulo 4"/>
        <xdr:cNvSpPr/>
      </xdr:nvSpPr>
      <xdr:spPr>
        <a:xfrm rot="19983748">
          <a:off x="9486900" y="8652509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9</xdr:col>
      <xdr:colOff>495301</xdr:colOff>
      <xdr:row>38</xdr:row>
      <xdr:rowOff>1485900</xdr:rowOff>
    </xdr:from>
    <xdr:ext cx="11105823" cy="2440476"/>
    <xdr:sp macro="" textlink="">
      <xdr:nvSpPr>
        <xdr:cNvPr id="6" name="Rectángulo 5"/>
        <xdr:cNvSpPr/>
      </xdr:nvSpPr>
      <xdr:spPr>
        <a:xfrm rot="19983748">
          <a:off x="9944101" y="67703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9</xdr:col>
      <xdr:colOff>723901</xdr:colOff>
      <xdr:row>31</xdr:row>
      <xdr:rowOff>342900</xdr:rowOff>
    </xdr:from>
    <xdr:ext cx="11105823" cy="2440476"/>
    <xdr:sp macro="" textlink="">
      <xdr:nvSpPr>
        <xdr:cNvPr id="7" name="Rectángulo 6"/>
        <xdr:cNvSpPr/>
      </xdr:nvSpPr>
      <xdr:spPr>
        <a:xfrm rot="19983748">
          <a:off x="10172701" y="491109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9</xdr:col>
      <xdr:colOff>266701</xdr:colOff>
      <xdr:row>19</xdr:row>
      <xdr:rowOff>0</xdr:rowOff>
    </xdr:from>
    <xdr:ext cx="11105823" cy="2440476"/>
    <xdr:sp macro="" textlink="">
      <xdr:nvSpPr>
        <xdr:cNvPr id="8" name="Rectángulo 7"/>
        <xdr:cNvSpPr/>
      </xdr:nvSpPr>
      <xdr:spPr>
        <a:xfrm rot="19983748">
          <a:off x="9715501" y="301752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571500</xdr:colOff>
      <xdr:row>8</xdr:row>
      <xdr:rowOff>1638300</xdr:rowOff>
    </xdr:from>
    <xdr:ext cx="11105823" cy="2440476"/>
    <xdr:sp macro="" textlink="">
      <xdr:nvSpPr>
        <xdr:cNvPr id="9" name="Rectángulo 8"/>
        <xdr:cNvSpPr/>
      </xdr:nvSpPr>
      <xdr:spPr>
        <a:xfrm rot="19983748">
          <a:off x="8801100" y="91059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10</xdr:col>
      <xdr:colOff>0</xdr:colOff>
      <xdr:row>81</xdr:row>
      <xdr:rowOff>0</xdr:rowOff>
    </xdr:from>
    <xdr:ext cx="11105823" cy="2440476"/>
    <xdr:sp macro="" textlink="">
      <xdr:nvSpPr>
        <xdr:cNvPr id="10" name="Rectángulo 9"/>
        <xdr:cNvSpPr/>
      </xdr:nvSpPr>
      <xdr:spPr>
        <a:xfrm rot="19983748">
          <a:off x="10553700" y="1446276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9</xdr:col>
      <xdr:colOff>0</xdr:colOff>
      <xdr:row>92</xdr:row>
      <xdr:rowOff>0</xdr:rowOff>
    </xdr:from>
    <xdr:ext cx="11105823" cy="2440476"/>
    <xdr:sp macro="" textlink="">
      <xdr:nvSpPr>
        <xdr:cNvPr id="11" name="Rectángulo 10"/>
        <xdr:cNvSpPr/>
      </xdr:nvSpPr>
      <xdr:spPr>
        <a:xfrm rot="19983748">
          <a:off x="9448800" y="1659636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9</xdr:col>
      <xdr:colOff>457200</xdr:colOff>
      <xdr:row>103</xdr:row>
      <xdr:rowOff>114300</xdr:rowOff>
    </xdr:from>
    <xdr:ext cx="11105823" cy="2440476"/>
    <xdr:sp macro="" textlink="">
      <xdr:nvSpPr>
        <xdr:cNvPr id="12" name="Rectángulo 11"/>
        <xdr:cNvSpPr/>
      </xdr:nvSpPr>
      <xdr:spPr>
        <a:xfrm rot="19983748">
          <a:off x="9906000" y="1862328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9</xdr:col>
      <xdr:colOff>457201</xdr:colOff>
      <xdr:row>115</xdr:row>
      <xdr:rowOff>685800</xdr:rowOff>
    </xdr:from>
    <xdr:ext cx="11105823" cy="2440476"/>
    <xdr:sp macro="" textlink="">
      <xdr:nvSpPr>
        <xdr:cNvPr id="13" name="Rectángulo 12"/>
        <xdr:cNvSpPr/>
      </xdr:nvSpPr>
      <xdr:spPr>
        <a:xfrm rot="19983748">
          <a:off x="9906001" y="2046732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9</xdr:col>
      <xdr:colOff>495300</xdr:colOff>
      <xdr:row>124</xdr:row>
      <xdr:rowOff>228600</xdr:rowOff>
    </xdr:from>
    <xdr:ext cx="11105823" cy="2440476"/>
    <xdr:sp macro="" textlink="">
      <xdr:nvSpPr>
        <xdr:cNvPr id="14" name="Rectángulo 13"/>
        <xdr:cNvSpPr/>
      </xdr:nvSpPr>
      <xdr:spPr>
        <a:xfrm rot="19983748">
          <a:off x="9944100" y="2222373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1104901</xdr:colOff>
      <xdr:row>132</xdr:row>
      <xdr:rowOff>3124199</xdr:rowOff>
    </xdr:from>
    <xdr:ext cx="11105823" cy="2440476"/>
    <xdr:sp macro="" textlink="">
      <xdr:nvSpPr>
        <xdr:cNvPr id="15" name="Rectángulo 14"/>
        <xdr:cNvSpPr/>
      </xdr:nvSpPr>
      <xdr:spPr>
        <a:xfrm rot="19983748">
          <a:off x="9334501" y="24090629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8</xdr:col>
      <xdr:colOff>381000</xdr:colOff>
      <xdr:row>137</xdr:row>
      <xdr:rowOff>2057400</xdr:rowOff>
    </xdr:from>
    <xdr:ext cx="11105823" cy="2440476"/>
    <xdr:sp macro="" textlink="">
      <xdr:nvSpPr>
        <xdr:cNvPr id="16" name="Rectángulo 15"/>
        <xdr:cNvSpPr/>
      </xdr:nvSpPr>
      <xdr:spPr>
        <a:xfrm rot="19983748">
          <a:off x="8610600" y="2525268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xdr:row>
      <xdr:rowOff>1190625</xdr:rowOff>
    </xdr:from>
    <xdr:ext cx="11105823" cy="2440476"/>
    <xdr:sp macro="" textlink="">
      <xdr:nvSpPr>
        <xdr:cNvPr id="2" name="Rectángulo 1"/>
        <xdr:cNvSpPr/>
      </xdr:nvSpPr>
      <xdr:spPr>
        <a:xfrm rot="19983748">
          <a:off x="0" y="33909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catalinasaenzh@hot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80" zoomScaleNormal="80" workbookViewId="0">
      <pane ySplit="8" topLeftCell="A9" activePane="bottomLeft" state="frozen"/>
      <selection pane="bottomLeft" activeCell="M9" sqref="M9"/>
    </sheetView>
  </sheetViews>
  <sheetFormatPr baseColWidth="10" defaultRowHeight="12.75" x14ac:dyDescent="0.2"/>
  <cols>
    <col min="1" max="1" width="18.42578125" customWidth="1"/>
    <col min="2" max="2" width="26.5703125" customWidth="1"/>
    <col min="3" max="3" width="18.85546875" customWidth="1"/>
    <col min="4" max="4" width="17.85546875" customWidth="1"/>
    <col min="5" max="5" width="17" bestFit="1" customWidth="1"/>
    <col min="6" max="6" width="17.5703125" bestFit="1" customWidth="1"/>
    <col min="7" max="7" width="18.85546875" customWidth="1"/>
    <col min="8" max="8" width="16.140625" customWidth="1"/>
    <col min="9" max="9" width="17.140625" customWidth="1"/>
    <col min="10" max="10" width="18.7109375" customWidth="1"/>
    <col min="11" max="11" width="16.85546875" bestFit="1" customWidth="1"/>
    <col min="12" max="12" width="17.5703125" customWidth="1"/>
    <col min="13" max="13" width="18.42578125" customWidth="1"/>
    <col min="14" max="14" width="20.7109375" bestFit="1" customWidth="1"/>
    <col min="15" max="15" width="12.85546875" bestFit="1" customWidth="1"/>
  </cols>
  <sheetData>
    <row r="1" spans="1:12" ht="12.75" customHeight="1" x14ac:dyDescent="0.2">
      <c r="A1" s="86"/>
      <c r="B1" s="618"/>
      <c r="C1" s="619"/>
      <c r="D1" s="619"/>
      <c r="E1" s="619"/>
      <c r="F1" s="619"/>
      <c r="G1" s="433"/>
      <c r="H1" s="433"/>
      <c r="I1" s="30"/>
      <c r="J1" s="30"/>
      <c r="K1" s="30"/>
      <c r="L1" s="31"/>
    </row>
    <row r="2" spans="1:12" ht="15" customHeight="1" x14ac:dyDescent="0.2">
      <c r="A2" s="89"/>
      <c r="B2" s="620"/>
      <c r="C2" s="621"/>
      <c r="D2" s="621"/>
      <c r="E2" s="621"/>
      <c r="F2" s="621"/>
      <c r="G2" s="434"/>
      <c r="H2" s="434"/>
      <c r="I2" s="33"/>
      <c r="J2" s="33"/>
      <c r="K2" s="33"/>
      <c r="L2" s="108"/>
    </row>
    <row r="3" spans="1:12" ht="15.75" customHeight="1" x14ac:dyDescent="0.2">
      <c r="A3" s="89"/>
      <c r="B3" s="620" t="s">
        <v>244</v>
      </c>
      <c r="C3" s="621"/>
      <c r="D3" s="621"/>
      <c r="E3" s="621"/>
      <c r="F3" s="621"/>
      <c r="G3" s="434"/>
      <c r="H3" s="434"/>
      <c r="I3" s="33"/>
      <c r="J3" s="33"/>
      <c r="K3" s="33"/>
      <c r="L3" s="108"/>
    </row>
    <row r="4" spans="1:12" ht="15" customHeight="1" x14ac:dyDescent="0.2">
      <c r="A4" s="89"/>
      <c r="B4" s="620" t="s">
        <v>219</v>
      </c>
      <c r="C4" s="621"/>
      <c r="D4" s="621"/>
      <c r="E4" s="621"/>
      <c r="F4" s="621"/>
      <c r="G4" s="434"/>
      <c r="H4" s="434"/>
      <c r="I4" s="33"/>
      <c r="J4" s="33"/>
      <c r="K4" s="33"/>
      <c r="L4" s="108"/>
    </row>
    <row r="5" spans="1:12" ht="15" customHeight="1" x14ac:dyDescent="0.2">
      <c r="A5" s="89"/>
      <c r="B5" s="89"/>
      <c r="C5" s="33"/>
      <c r="D5" s="33"/>
      <c r="E5" s="33"/>
      <c r="F5" s="33"/>
      <c r="G5" s="33"/>
      <c r="H5" s="33"/>
      <c r="I5" s="33"/>
      <c r="J5" s="33"/>
      <c r="K5" s="33"/>
      <c r="L5" s="108"/>
    </row>
    <row r="6" spans="1:12" ht="17.25" customHeight="1" thickBot="1" x14ac:dyDescent="0.25">
      <c r="A6" s="89"/>
      <c r="B6" s="466"/>
      <c r="C6" s="122"/>
      <c r="D6" s="122"/>
      <c r="E6" s="122"/>
      <c r="F6" s="122"/>
      <c r="G6" s="122"/>
      <c r="H6" s="122"/>
      <c r="I6" s="122"/>
      <c r="J6" s="122"/>
      <c r="K6" s="122"/>
      <c r="L6" s="121"/>
    </row>
    <row r="7" spans="1:12" ht="21" customHeight="1" thickBot="1" x14ac:dyDescent="0.25">
      <c r="A7" s="416" t="s">
        <v>847</v>
      </c>
      <c r="B7" s="417"/>
      <c r="C7" s="417"/>
      <c r="D7" s="417"/>
      <c r="E7" s="417"/>
      <c r="F7" s="417"/>
      <c r="G7" s="417"/>
      <c r="H7" s="417"/>
      <c r="I7" s="417"/>
      <c r="J7" s="417"/>
      <c r="K7" s="417"/>
      <c r="L7" s="418"/>
    </row>
    <row r="8" spans="1:12" ht="147" customHeight="1" x14ac:dyDescent="0.2">
      <c r="A8" s="411" t="s">
        <v>220</v>
      </c>
      <c r="B8" s="411" t="s">
        <v>221</v>
      </c>
      <c r="C8" s="411" t="s">
        <v>542</v>
      </c>
      <c r="D8" s="411" t="s">
        <v>543</v>
      </c>
      <c r="E8" s="411" t="s">
        <v>544</v>
      </c>
      <c r="F8" s="412" t="s">
        <v>545</v>
      </c>
      <c r="G8" s="413" t="s">
        <v>844</v>
      </c>
      <c r="H8" s="414" t="s">
        <v>845</v>
      </c>
      <c r="I8" s="410" t="s">
        <v>846</v>
      </c>
      <c r="J8" s="415" t="s">
        <v>849</v>
      </c>
    </row>
    <row r="9" spans="1:12" s="36" customFormat="1" ht="13.5" thickBot="1" x14ac:dyDescent="0.25">
      <c r="A9" s="34">
        <v>1</v>
      </c>
      <c r="B9" s="34">
        <v>2</v>
      </c>
      <c r="C9" s="34">
        <v>3</v>
      </c>
      <c r="D9" s="34">
        <v>4</v>
      </c>
      <c r="E9" s="34">
        <v>5</v>
      </c>
      <c r="F9" s="34">
        <v>6</v>
      </c>
      <c r="G9" s="34">
        <v>7</v>
      </c>
      <c r="H9" s="35">
        <v>8</v>
      </c>
      <c r="I9" s="34">
        <v>9</v>
      </c>
      <c r="J9" s="380">
        <v>10</v>
      </c>
    </row>
    <row r="10" spans="1:12" s="39" customFormat="1" ht="30.75" customHeight="1" thickBot="1" x14ac:dyDescent="0.25">
      <c r="A10" s="37">
        <v>31102</v>
      </c>
      <c r="B10" s="38" t="s">
        <v>222</v>
      </c>
      <c r="C10" s="351">
        <f t="shared" ref="C10:J10" si="0">SUM(C11:C12)</f>
        <v>580000000</v>
      </c>
      <c r="D10" s="351">
        <f t="shared" si="0"/>
        <v>231141360</v>
      </c>
      <c r="E10" s="351">
        <f>SUM(E11:E12)</f>
        <v>166293690</v>
      </c>
      <c r="F10" s="351">
        <f>SUM(F11:F12)</f>
        <v>48720000</v>
      </c>
      <c r="G10" s="351">
        <f t="shared" si="0"/>
        <v>364986310</v>
      </c>
      <c r="H10" s="352">
        <f t="shared" si="0"/>
        <v>300138640</v>
      </c>
      <c r="I10" s="353">
        <f t="shared" si="0"/>
        <v>364986310</v>
      </c>
      <c r="J10" s="351">
        <f t="shared" si="0"/>
        <v>215013690</v>
      </c>
      <c r="K10" s="40"/>
    </row>
    <row r="11" spans="1:12" s="43" customFormat="1" ht="21.75" customHeight="1" x14ac:dyDescent="0.2">
      <c r="A11" s="41">
        <v>311020301</v>
      </c>
      <c r="B11" s="42" t="s">
        <v>80</v>
      </c>
      <c r="C11" s="564">
        <v>500000000</v>
      </c>
      <c r="D11" s="552">
        <f>+'PLAN DE ADQUISICIONES 2016'!I45+'PLAN DE ADQUISICIONES 2016'!I65+'PLAN DE ADQUISICIONES 2016'!I66+'PLAN DE ADQUISICIONES 2016'!I83+'PLAN DE ADQUISICIONES 2016'!I85+'PLAN DE ADQUISICIONES 2016'!I101+'PLAN DE ADQUISICIONES 2016'!I138+'PLAN DE ADQUISICIONES 2016'!I139+'PLAN DE ADQUISICIONES 2016'!I140</f>
        <v>231141360</v>
      </c>
      <c r="E11" s="552">
        <f>+'PLAN DE ADQUISICIONES 2016'!J45+'PLAN DE ADQUISICIONES 2016'!J65+'PLAN DE ADQUISICIONES 2016'!J83+'PLAN DE ADQUISICIONES 2016'!J85+'PLAN DE ADQUISICIONES 2016'!J138+'PLAN DE ADQUISICIONES 2016'!J139+'PLAN DE ADQUISICIONES 2016'!J140</f>
        <v>166293690</v>
      </c>
      <c r="F11" s="552">
        <f>'ADICIONES A CONTRATOS'!H8</f>
        <v>24000000</v>
      </c>
      <c r="G11" s="552">
        <f>+C11-E11-F11</f>
        <v>309706310</v>
      </c>
      <c r="H11" s="554">
        <f>+C11-D11-F11</f>
        <v>244858640</v>
      </c>
      <c r="I11" s="565">
        <v>309706310</v>
      </c>
      <c r="J11" s="566">
        <f>C11-I11</f>
        <v>190293690</v>
      </c>
      <c r="K11" s="44"/>
    </row>
    <row r="12" spans="1:12" s="43" customFormat="1" ht="30.75" thickBot="1" x14ac:dyDescent="0.25">
      <c r="A12" s="45">
        <v>3110204</v>
      </c>
      <c r="B12" s="46" t="s">
        <v>223</v>
      </c>
      <c r="C12" s="567">
        <v>80000000</v>
      </c>
      <c r="D12" s="568">
        <v>0</v>
      </c>
      <c r="E12" s="568">
        <v>0</v>
      </c>
      <c r="F12" s="569">
        <f>'ADICIONES A CONTRATOS'!H7+'ADICIONES A CONTRATOS'!H9+'ADICIONES A CONTRATOS'!H12</f>
        <v>24720000</v>
      </c>
      <c r="G12" s="552">
        <f>+C12-E12-F12</f>
        <v>55280000</v>
      </c>
      <c r="H12" s="554">
        <f>+C12-D12-F12</f>
        <v>55280000</v>
      </c>
      <c r="I12" s="565">
        <v>55280000</v>
      </c>
      <c r="J12" s="566">
        <f>C12-I12</f>
        <v>24720000</v>
      </c>
      <c r="K12" s="44"/>
    </row>
    <row r="13" spans="1:12" s="39" customFormat="1" ht="30.75" thickBot="1" x14ac:dyDescent="0.25">
      <c r="A13" s="37">
        <v>312</v>
      </c>
      <c r="B13" s="47" t="s">
        <v>224</v>
      </c>
      <c r="C13" s="48">
        <f t="shared" ref="C13:J13" si="1">SUM(C14:C38)-(C14+C20+C25+C27+C29+C35)</f>
        <v>4884800000</v>
      </c>
      <c r="D13" s="48">
        <f t="shared" si="1"/>
        <v>3784789234</v>
      </c>
      <c r="E13" s="48">
        <f>SUM(E14:E38)-(E14+E20+E25+E27+E29+E35)</f>
        <v>516323333</v>
      </c>
      <c r="F13" s="48">
        <f>SUM(F14:F38)-(F14+F20+F25+F27+F29+F35)</f>
        <v>308305681</v>
      </c>
      <c r="G13" s="48">
        <f t="shared" si="1"/>
        <v>4060170986</v>
      </c>
      <c r="H13" s="50">
        <f t="shared" si="1"/>
        <v>791705085</v>
      </c>
      <c r="I13" s="51">
        <f t="shared" si="1"/>
        <v>2424403582</v>
      </c>
      <c r="J13" s="48">
        <f t="shared" si="1"/>
        <v>2460396418</v>
      </c>
    </row>
    <row r="14" spans="1:12" s="39" customFormat="1" ht="16.5" thickBot="1" x14ac:dyDescent="0.25">
      <c r="A14" s="37">
        <v>31201</v>
      </c>
      <c r="B14" s="49" t="s">
        <v>120</v>
      </c>
      <c r="C14" s="48">
        <f t="shared" ref="C14:J14" si="2">SUM(C15:C19)</f>
        <v>832126000</v>
      </c>
      <c r="D14" s="48">
        <f t="shared" si="2"/>
        <v>817433994</v>
      </c>
      <c r="E14" s="48">
        <f t="shared" si="2"/>
        <v>127319410</v>
      </c>
      <c r="F14" s="48">
        <f t="shared" si="2"/>
        <v>700000</v>
      </c>
      <c r="G14" s="48">
        <f t="shared" si="2"/>
        <v>704106590</v>
      </c>
      <c r="H14" s="50">
        <f t="shared" si="2"/>
        <v>13992006</v>
      </c>
      <c r="I14" s="51">
        <f t="shared" si="2"/>
        <v>514621530</v>
      </c>
      <c r="J14" s="48">
        <f t="shared" si="2"/>
        <v>317504470</v>
      </c>
      <c r="K14" s="40"/>
    </row>
    <row r="15" spans="1:12" s="43" customFormat="1" ht="15" x14ac:dyDescent="0.2">
      <c r="A15" s="45">
        <v>3120101</v>
      </c>
      <c r="B15" s="42" t="s">
        <v>225</v>
      </c>
      <c r="C15" s="556">
        <v>95000000</v>
      </c>
      <c r="D15" s="553">
        <f>+'PLAN DE ADQUISICIONES 2016'!I9+'PLAN DE ADQUISICIONES 2016'!I10+'PLAN DE ADQUISICIONES 2016'!I11+'PLAN DE ADQUISICIONES 2016'!I12+'PLAN DE ADQUISICIONES 2016'!I13+'PLAN DE ADQUISICIONES 2016'!I14</f>
        <v>95000000</v>
      </c>
      <c r="E15" s="553">
        <f>+'PLAN DE ADQUISICIONES 2016'!J9+'PLAN DE ADQUISICIONES 2016'!J10+'PLAN DE ADQUISICIONES 2016'!J11+'PLAN DE ADQUISICIONES 2016'!J12+'PLAN DE ADQUISICIONES 2016'!J13+'PLAN DE ADQUISICIONES 2016'!J14</f>
        <v>19001378</v>
      </c>
      <c r="F15" s="553">
        <f>'ADICIONES A CONTRATOS'!H6</f>
        <v>700000</v>
      </c>
      <c r="G15" s="552">
        <f>+C15-E15-F15</f>
        <v>75298622</v>
      </c>
      <c r="H15" s="554">
        <f>+C15-D15-F15</f>
        <v>-700000</v>
      </c>
      <c r="I15" s="559">
        <v>37194162</v>
      </c>
      <c r="J15" s="560">
        <f>+C15-I15</f>
        <v>57805838</v>
      </c>
      <c r="K15" s="44"/>
    </row>
    <row r="16" spans="1:12" s="43" customFormat="1" ht="15" x14ac:dyDescent="0.2">
      <c r="A16" s="41">
        <v>3120102</v>
      </c>
      <c r="B16" s="46" t="s">
        <v>160</v>
      </c>
      <c r="C16" s="557">
        <v>187839000</v>
      </c>
      <c r="D16" s="555">
        <f>+'PLAN DE ADQUISICIONES 2016'!I76+'PLAN DE ADQUISICIONES 2016'!I79+'PLAN DE ADQUISICIONES 2016'!I92</f>
        <v>191251600</v>
      </c>
      <c r="E16" s="555">
        <f>+'PLAN DE ADQUISICIONES 2016'!J76+'PLAN DE ADQUISICIONES 2016'!J79+'PLAN DE ADQUISICIONES 2016'!J92</f>
        <v>0</v>
      </c>
      <c r="F16" s="555">
        <v>0</v>
      </c>
      <c r="G16" s="552">
        <f t="shared" ref="G16:G19" si="3">+C16-E16-F16</f>
        <v>187839000</v>
      </c>
      <c r="H16" s="554">
        <f t="shared" ref="H16:H19" si="4">+C16-D16-F16</f>
        <v>-3412600</v>
      </c>
      <c r="I16" s="562">
        <v>104458400</v>
      </c>
      <c r="J16" s="560">
        <f t="shared" ref="J16:J18" si="5">+C16-I16</f>
        <v>83380600</v>
      </c>
      <c r="K16" s="44"/>
    </row>
    <row r="17" spans="1:11" s="43" customFormat="1" ht="30" x14ac:dyDescent="0.2">
      <c r="A17" s="41">
        <v>3120103</v>
      </c>
      <c r="B17" s="46" t="s">
        <v>226</v>
      </c>
      <c r="C17" s="557">
        <v>158860000</v>
      </c>
      <c r="D17" s="555">
        <f>+'PLAN DE ADQUISICIONES 2016'!I88+'PLAN DE ADQUISICIONES 2016'!I90+'PLAN DE ADQUISICIONES 2016'!I91</f>
        <v>152029032</v>
      </c>
      <c r="E17" s="555">
        <f>+'PLAN DE ADQUISICIONES 2016'!J88+'PLAN DE ADQUISICIONES 2016'!J90+'PLAN DE ADQUISICIONES 2016'!J91</f>
        <v>108318032</v>
      </c>
      <c r="F17" s="555">
        <v>0</v>
      </c>
      <c r="G17" s="552">
        <f t="shared" si="3"/>
        <v>50541968</v>
      </c>
      <c r="H17" s="554">
        <f t="shared" si="4"/>
        <v>6830968</v>
      </c>
      <c r="I17" s="562">
        <v>50541968</v>
      </c>
      <c r="J17" s="560">
        <f t="shared" si="5"/>
        <v>108318032</v>
      </c>
      <c r="K17" s="44"/>
    </row>
    <row r="18" spans="1:11" s="43" customFormat="1" ht="15" x14ac:dyDescent="0.2">
      <c r="A18" s="41">
        <v>3120104</v>
      </c>
      <c r="B18" s="46" t="s">
        <v>227</v>
      </c>
      <c r="C18" s="557">
        <v>367927000</v>
      </c>
      <c r="D18" s="555">
        <f>+'PLAN DE ADQUISICIONES 2016'!I77+'PLAN DE ADQUISICIONES 2016'!I86+'PLAN DE ADQUISICIONES 2016'!I87</f>
        <v>361153362</v>
      </c>
      <c r="E18" s="555">
        <f>+'PLAN DE ADQUISICIONES 2016'!J77+'PLAN DE ADQUISICIONES 2016'!J86+'PLAN DE ADQUISICIONES 2016'!J87</f>
        <v>0</v>
      </c>
      <c r="F18" s="555">
        <v>0</v>
      </c>
      <c r="G18" s="552">
        <f t="shared" si="3"/>
        <v>367927000</v>
      </c>
      <c r="H18" s="554">
        <f t="shared" si="4"/>
        <v>6773638</v>
      </c>
      <c r="I18" s="562">
        <v>299927000</v>
      </c>
      <c r="J18" s="560">
        <f t="shared" si="5"/>
        <v>68000000</v>
      </c>
      <c r="K18" s="44"/>
    </row>
    <row r="19" spans="1:11" s="43" customFormat="1" ht="15.75" thickBot="1" x14ac:dyDescent="0.25">
      <c r="A19" s="57">
        <v>3120105</v>
      </c>
      <c r="B19" s="58" t="s">
        <v>130</v>
      </c>
      <c r="C19" s="558">
        <v>22500000</v>
      </c>
      <c r="D19" s="561">
        <f>+'PLAN DE ADQUISICIONES 2016'!I84</f>
        <v>18000000</v>
      </c>
      <c r="E19" s="561">
        <f>+'PLAN DE ADQUISICIONES 2016'!J84</f>
        <v>0</v>
      </c>
      <c r="F19" s="555">
        <v>0</v>
      </c>
      <c r="G19" s="552">
        <f t="shared" si="3"/>
        <v>22500000</v>
      </c>
      <c r="H19" s="554">
        <f t="shared" si="4"/>
        <v>4500000</v>
      </c>
      <c r="I19" s="563">
        <v>22500000</v>
      </c>
      <c r="J19" s="560">
        <f>+C19-I19</f>
        <v>0</v>
      </c>
      <c r="K19" s="44"/>
    </row>
    <row r="20" spans="1:11" s="39" customFormat="1" ht="30.75" customHeight="1" thickBot="1" x14ac:dyDescent="0.25">
      <c r="A20" s="37">
        <v>31202</v>
      </c>
      <c r="B20" s="47" t="s">
        <v>228</v>
      </c>
      <c r="C20" s="48">
        <f t="shared" ref="C20:J20" si="6">SUM(C21:C38)-(C25+C27+C29+C35)</f>
        <v>4052674000</v>
      </c>
      <c r="D20" s="48">
        <f t="shared" si="6"/>
        <v>2967355240</v>
      </c>
      <c r="E20" s="48">
        <f>SUM(E21:E38)-(E25+E27+E29+E35)</f>
        <v>389003923</v>
      </c>
      <c r="F20" s="48">
        <f>SUM(F21:F38)-(F25+F27+F29+F35)</f>
        <v>307605681</v>
      </c>
      <c r="G20" s="48">
        <f t="shared" si="6"/>
        <v>3356064396</v>
      </c>
      <c r="H20" s="50">
        <f t="shared" si="6"/>
        <v>777713079</v>
      </c>
      <c r="I20" s="51">
        <f t="shared" si="6"/>
        <v>1909782052</v>
      </c>
      <c r="J20" s="48">
        <f t="shared" si="6"/>
        <v>2142891948</v>
      </c>
    </row>
    <row r="21" spans="1:11" s="43" customFormat="1" ht="15" x14ac:dyDescent="0.2">
      <c r="A21" s="45">
        <v>3120201</v>
      </c>
      <c r="B21" s="62" t="s">
        <v>173</v>
      </c>
      <c r="C21" s="556">
        <v>141213000</v>
      </c>
      <c r="D21" s="53">
        <f>+'PLAN DE ADQUISICIONES 2016'!I97</f>
        <v>72351180</v>
      </c>
      <c r="E21" s="53">
        <f>+'PLAN DE ADQUISICIONES 2016'!J97</f>
        <v>72351180</v>
      </c>
      <c r="F21" s="555">
        <v>0</v>
      </c>
      <c r="G21" s="552">
        <f t="shared" ref="G21" si="7">+C21-E21-F21</f>
        <v>68861820</v>
      </c>
      <c r="H21" s="554">
        <f t="shared" ref="H21" si="8">+C21-D21-F21</f>
        <v>68861820</v>
      </c>
      <c r="I21" s="563">
        <v>68861820</v>
      </c>
      <c r="J21" s="560">
        <f>+C21-I21</f>
        <v>72351180</v>
      </c>
      <c r="K21" s="44"/>
    </row>
    <row r="22" spans="1:11" s="43" customFormat="1" ht="30" x14ac:dyDescent="0.2">
      <c r="A22" s="41">
        <v>3120202</v>
      </c>
      <c r="B22" s="63" t="s">
        <v>229</v>
      </c>
      <c r="C22" s="557">
        <v>30000000</v>
      </c>
      <c r="D22" s="55">
        <f>+'PLAN DE ADQUISICIONES 2016'!I7</f>
        <v>26185877</v>
      </c>
      <c r="E22" s="55">
        <f>+'PLAN DE ADQUISICIONES 2016'!J7</f>
        <v>0</v>
      </c>
      <c r="F22" s="555">
        <v>0</v>
      </c>
      <c r="G22" s="552">
        <f t="shared" ref="G22:G24" si="9">+C22-E22-F22</f>
        <v>30000000</v>
      </c>
      <c r="H22" s="554">
        <f t="shared" ref="H22:H24" si="10">+C22-D22-F22</f>
        <v>3814123</v>
      </c>
      <c r="I22" s="563">
        <v>26185877</v>
      </c>
      <c r="J22" s="560">
        <f t="shared" ref="J22:J24" si="11">+C22-I22</f>
        <v>3814123</v>
      </c>
      <c r="K22" s="44"/>
    </row>
    <row r="23" spans="1:11" s="43" customFormat="1" ht="30" x14ac:dyDescent="0.2">
      <c r="A23" s="41">
        <v>3120203</v>
      </c>
      <c r="B23" s="64" t="s">
        <v>163</v>
      </c>
      <c r="C23" s="570">
        <v>224254000</v>
      </c>
      <c r="D23" s="60">
        <f>+'PLAN DE ADQUISICIONES 2016'!I93+'PLAN DE ADQUISICIONES 2016'!I94</f>
        <v>57747739</v>
      </c>
      <c r="E23" s="60">
        <f>+'PLAN DE ADQUISICIONES 2016'!J93+'PLAN DE ADQUISICIONES 2016'!J94</f>
        <v>4747739</v>
      </c>
      <c r="F23" s="555">
        <v>0</v>
      </c>
      <c r="G23" s="552">
        <f t="shared" si="9"/>
        <v>219506261</v>
      </c>
      <c r="H23" s="554">
        <f t="shared" si="10"/>
        <v>166506261</v>
      </c>
      <c r="I23" s="563">
        <v>95757201</v>
      </c>
      <c r="J23" s="560">
        <f t="shared" si="11"/>
        <v>128496799</v>
      </c>
      <c r="K23" s="44"/>
    </row>
    <row r="24" spans="1:11" s="43" customFormat="1" ht="31.5" customHeight="1" x14ac:dyDescent="0.2">
      <c r="A24" s="57">
        <v>3120204</v>
      </c>
      <c r="B24" s="64" t="s">
        <v>230</v>
      </c>
      <c r="C24" s="570">
        <v>112262000</v>
      </c>
      <c r="D24" s="561">
        <f>+'PLAN DE ADQUISICIONES 2016'!I67+'PLAN DE ADQUISICIONES 2016'!I69+'PLAN DE ADQUISICIONES 2016'!I70+'PLAN DE ADQUISICIONES 2016'!I71+'PLAN DE ADQUISICIONES 2016'!I72+'PLAN DE ADQUISICIONES 2016'!I73+'PLAN DE ADQUISICIONES 2016'!I95</f>
        <v>131730000</v>
      </c>
      <c r="E24" s="561">
        <f>+'PLAN DE ADQUISICIONES 2016'!J67+'PLAN DE ADQUISICIONES 2016'!J69+'PLAN DE ADQUISICIONES 2016'!J70+'PLAN DE ADQUISICIONES 2016'!J71+'PLAN DE ADQUISICIONES 2016'!J72+'PLAN DE ADQUISICIONES 2016'!J73+'PLAN DE ADQUISICIONES 2016'!J95</f>
        <v>69618151</v>
      </c>
      <c r="F24" s="555">
        <v>0</v>
      </c>
      <c r="G24" s="552">
        <f t="shared" si="9"/>
        <v>42643849</v>
      </c>
      <c r="H24" s="554">
        <f t="shared" si="10"/>
        <v>-19468000</v>
      </c>
      <c r="I24" s="563">
        <v>25841938</v>
      </c>
      <c r="J24" s="560">
        <f t="shared" si="11"/>
        <v>86420062</v>
      </c>
      <c r="K24" s="44"/>
    </row>
    <row r="25" spans="1:11" s="39" customFormat="1" ht="31.5" x14ac:dyDescent="0.2">
      <c r="A25" s="65">
        <v>3120205</v>
      </c>
      <c r="B25" s="66" t="s">
        <v>231</v>
      </c>
      <c r="C25" s="67">
        <f t="shared" ref="C25:J25" si="12">SUM(C26)</f>
        <v>1668000000</v>
      </c>
      <c r="D25" s="67">
        <f t="shared" si="12"/>
        <v>1122145444</v>
      </c>
      <c r="E25" s="571">
        <f>SUM(E26)</f>
        <v>0</v>
      </c>
      <c r="F25" s="573">
        <f>SUM(F26)</f>
        <v>307605681</v>
      </c>
      <c r="G25" s="573">
        <f t="shared" si="12"/>
        <v>1360394319</v>
      </c>
      <c r="H25" s="573">
        <f t="shared" si="12"/>
        <v>238248875</v>
      </c>
      <c r="I25" s="67">
        <f t="shared" si="12"/>
        <v>243754814</v>
      </c>
      <c r="J25" s="67">
        <f t="shared" si="12"/>
        <v>1424245186</v>
      </c>
    </row>
    <row r="26" spans="1:11" s="43" customFormat="1" ht="17.25" customHeight="1" x14ac:dyDescent="0.2">
      <c r="A26" s="45">
        <v>312020501</v>
      </c>
      <c r="B26" s="46" t="s">
        <v>84</v>
      </c>
      <c r="C26" s="570">
        <v>1668000000</v>
      </c>
      <c r="D26" s="60">
        <f>+'PLAN DE ADQUISICIONES 2016'!I41+'PLAN DE ADQUISICIONES 2016'!I42+'PLAN DE ADQUISICIONES 2016'!I78+'PLAN DE ADQUISICIONES 2016'!I89+'PLAN DE ADQUISICIONES 2016'!I96+'PLAN DE ADQUISICIONES 2016'!I98+'PLAN DE ADQUISICIONES 2016'!I99+'PLAN DE ADQUISICIONES 2016'!I100+'PLAN DE ADQUISICIONES 2016'!I131</f>
        <v>1122145444</v>
      </c>
      <c r="E26" s="60">
        <f>+'PLAN DE ADQUISICIONES 2016'!J78+'PLAN DE ADQUISICIONES 2016'!J89+'PLAN DE ADQUISICIONES 2016'!J96+'PLAN DE ADQUISICIONES 2016'!J98+'PLAN DE ADQUISICIONES 2016'!J99+'PLAN DE ADQUISICIONES 2016'!J100+'PLAN DE ADQUISICIONES 2016'!J131</f>
        <v>0</v>
      </c>
      <c r="F26" s="572">
        <f>+'ADICIONES A CONTRATOS'!H10</f>
        <v>307605681</v>
      </c>
      <c r="G26" s="552">
        <f t="shared" ref="G26" si="13">+C26-E26-F26</f>
        <v>1360394319</v>
      </c>
      <c r="H26" s="554">
        <f t="shared" ref="H26" si="14">+C26-D26-F26</f>
        <v>238248875</v>
      </c>
      <c r="I26" s="563">
        <v>243754814</v>
      </c>
      <c r="J26" s="560">
        <f t="shared" ref="J26:J28" si="15">+C26-I26</f>
        <v>1424245186</v>
      </c>
      <c r="K26" s="44"/>
    </row>
    <row r="27" spans="1:11" s="39" customFormat="1" ht="15.75" x14ac:dyDescent="0.2">
      <c r="A27" s="65">
        <v>3120206</v>
      </c>
      <c r="B27" s="66" t="s">
        <v>232</v>
      </c>
      <c r="C27" s="67">
        <f t="shared" ref="C27:J27" si="16">SUM(C28)</f>
        <v>500000000</v>
      </c>
      <c r="D27" s="67">
        <f t="shared" si="16"/>
        <v>400000000</v>
      </c>
      <c r="E27" s="67">
        <f>SUM(E28)</f>
        <v>0</v>
      </c>
      <c r="F27" s="67">
        <f>SUM(F28)</f>
        <v>0</v>
      </c>
      <c r="G27" s="67">
        <f t="shared" si="16"/>
        <v>500000000</v>
      </c>
      <c r="H27" s="379">
        <f t="shared" si="16"/>
        <v>100000000</v>
      </c>
      <c r="I27" s="69">
        <f t="shared" si="16"/>
        <v>500000000</v>
      </c>
      <c r="J27" s="69">
        <f t="shared" si="16"/>
        <v>0</v>
      </c>
    </row>
    <row r="28" spans="1:11" s="43" customFormat="1" ht="15.75" customHeight="1" x14ac:dyDescent="0.2">
      <c r="A28" s="41">
        <v>312020601</v>
      </c>
      <c r="B28" s="46" t="s">
        <v>131</v>
      </c>
      <c r="C28" s="570">
        <v>500000000</v>
      </c>
      <c r="D28" s="59">
        <f>+'PLAN DE ADQUISICIONES 2016'!I80+'PLAN DE ADQUISICIONES 2016'!I81</f>
        <v>400000000</v>
      </c>
      <c r="E28" s="59">
        <f>+'PLAN DE ADQUISICIONES 2016'!J80+'PLAN DE ADQUISICIONES 2016'!J81</f>
        <v>0</v>
      </c>
      <c r="F28" s="59">
        <v>0</v>
      </c>
      <c r="G28" s="552">
        <f t="shared" ref="G28" si="17">+C28-E28-F28</f>
        <v>500000000</v>
      </c>
      <c r="H28" s="554">
        <f t="shared" ref="H28" si="18">+C28-D28-F28</f>
        <v>100000000</v>
      </c>
      <c r="I28" s="56">
        <v>500000000</v>
      </c>
      <c r="J28" s="560">
        <f t="shared" si="15"/>
        <v>0</v>
      </c>
      <c r="K28" s="44"/>
    </row>
    <row r="29" spans="1:11" s="39" customFormat="1" ht="15.75" x14ac:dyDescent="0.2">
      <c r="A29" s="65">
        <v>3120209</v>
      </c>
      <c r="B29" s="66" t="s">
        <v>233</v>
      </c>
      <c r="C29" s="70">
        <f t="shared" ref="C29:J29" si="19">SUM(C30:C31)</f>
        <v>485000000</v>
      </c>
      <c r="D29" s="70">
        <f t="shared" si="19"/>
        <v>276250000</v>
      </c>
      <c r="E29" s="70">
        <f>SUM(E30:E31)</f>
        <v>0</v>
      </c>
      <c r="F29" s="70">
        <f>SUM(F30:F31)</f>
        <v>0</v>
      </c>
      <c r="G29" s="70">
        <f t="shared" si="19"/>
        <v>485000000</v>
      </c>
      <c r="H29" s="71">
        <f t="shared" si="19"/>
        <v>208750000</v>
      </c>
      <c r="I29" s="68">
        <f t="shared" si="19"/>
        <v>333903800</v>
      </c>
      <c r="J29" s="70">
        <f t="shared" si="19"/>
        <v>151096200</v>
      </c>
    </row>
    <row r="30" spans="1:11" s="43" customFormat="1" ht="14.25" customHeight="1" x14ac:dyDescent="0.2">
      <c r="A30" s="41">
        <v>312020901</v>
      </c>
      <c r="B30" s="42" t="s">
        <v>95</v>
      </c>
      <c r="C30" s="556">
        <v>425000000</v>
      </c>
      <c r="D30" s="52">
        <f>+'PLAN DE ADQUISICIONES 2016'!I43+'PLAN DE ADQUISICIONES 2016'!I44</f>
        <v>276250000</v>
      </c>
      <c r="E30" s="52">
        <f>+'PLAN DE ADQUISICIONES 2016'!J43+'PLAN DE ADQUISICIONES 2016'!J44</f>
        <v>0</v>
      </c>
      <c r="F30" s="55">
        <v>0</v>
      </c>
      <c r="G30" s="552">
        <f t="shared" ref="G30" si="20">+C30-E30-F30</f>
        <v>425000000</v>
      </c>
      <c r="H30" s="554">
        <f t="shared" ref="H30" si="21">+C30-D30-F30</f>
        <v>148750000</v>
      </c>
      <c r="I30" s="56">
        <v>273903800</v>
      </c>
      <c r="J30" s="560">
        <f t="shared" ref="J30" si="22">+C30-I30</f>
        <v>151096200</v>
      </c>
      <c r="K30" s="44"/>
    </row>
    <row r="31" spans="1:11" s="43" customFormat="1" ht="14.25" customHeight="1" x14ac:dyDescent="0.2">
      <c r="A31" s="41">
        <v>312020902</v>
      </c>
      <c r="B31" s="46" t="s">
        <v>92</v>
      </c>
      <c r="C31" s="557">
        <v>60000000</v>
      </c>
      <c r="D31" s="54">
        <v>0</v>
      </c>
      <c r="E31" s="54">
        <v>0</v>
      </c>
      <c r="F31" s="55">
        <v>0</v>
      </c>
      <c r="G31" s="552">
        <f t="shared" ref="G31:G33" si="23">+C31-E31-F31</f>
        <v>60000000</v>
      </c>
      <c r="H31" s="554">
        <f t="shared" ref="H31:H33" si="24">+C31-D31-F31</f>
        <v>60000000</v>
      </c>
      <c r="I31" s="56">
        <v>60000000</v>
      </c>
      <c r="J31" s="560">
        <f t="shared" ref="J31:J33" si="25">+C31-I31</f>
        <v>0</v>
      </c>
      <c r="K31" s="44"/>
    </row>
    <row r="32" spans="1:11" s="43" customFormat="1" ht="14.25" customHeight="1" x14ac:dyDescent="0.2">
      <c r="A32" s="41">
        <v>3120210</v>
      </c>
      <c r="B32" s="46" t="s">
        <v>234</v>
      </c>
      <c r="C32" s="557">
        <v>614327000</v>
      </c>
      <c r="D32" s="54">
        <f>+'PLAN DE ADQUISICIONES 2016'!I15+'PLAN DE ADQUISICIONES 2016'!I16+'PLAN DE ADQUISICIONES 2016'!I17+'PLAN DE ADQUISICIONES 2016'!I18+'PLAN DE ADQUISICIONES 2016'!I19+'PLAN DE ADQUISICIONES 2016'!I20+'PLAN DE ADQUISICIONES 2016'!I21+'PLAN DE ADQUISICIONES 2016'!I22+'PLAN DE ADQUISICIONES 2016'!I23+'PLAN DE ADQUISICIONES 2016'!I24+'PLAN DE ADQUISICIONES 2016'!I25+'PLAN DE ADQUISICIONES 2016'!I26+'PLAN DE ADQUISICIONES 2016'!I27+'PLAN DE ADQUISICIONES 2016'!I28</f>
        <v>614327000</v>
      </c>
      <c r="E32" s="54">
        <f>+'PLAN DE ADQUISICIONES 2016'!J15+'PLAN DE ADQUISICIONES 2016'!J16+'PLAN DE ADQUISICIONES 2016'!J17+'PLAN DE ADQUISICIONES 2016'!J18+'PLAN DE ADQUISICIONES 2016'!J19+'PLAN DE ADQUISICIONES 2016'!J20+'PLAN DE ADQUISICIONES 2016'!J21+'PLAN DE ADQUISICIONES 2016'!J22+'PLAN DE ADQUISICIONES 2016'!J23+'PLAN DE ADQUISICIONES 2016'!J24+'PLAN DE ADQUISICIONES 2016'!J25+'PLAN DE ADQUISICIONES 2016'!J26+'PLAN DE ADQUISICIONES 2016'!J27+'PLAN DE ADQUISICIONES 2016'!J28</f>
        <v>169012793</v>
      </c>
      <c r="F32" s="55">
        <v>0</v>
      </c>
      <c r="G32" s="552">
        <f t="shared" si="23"/>
        <v>445314207</v>
      </c>
      <c r="H32" s="554">
        <f t="shared" si="24"/>
        <v>0</v>
      </c>
      <c r="I32" s="56">
        <v>412017707</v>
      </c>
      <c r="J32" s="560">
        <f t="shared" si="25"/>
        <v>202309293</v>
      </c>
      <c r="K32" s="44"/>
    </row>
    <row r="33" spans="1:13" s="43" customFormat="1" ht="14.25" customHeight="1" x14ac:dyDescent="0.2">
      <c r="A33" s="41">
        <v>3120211</v>
      </c>
      <c r="B33" s="46" t="s">
        <v>107</v>
      </c>
      <c r="C33" s="574">
        <v>0</v>
      </c>
      <c r="D33" s="54">
        <v>0</v>
      </c>
      <c r="E33" s="54">
        <v>0</v>
      </c>
      <c r="F33" s="52">
        <v>0</v>
      </c>
      <c r="G33" s="552">
        <f t="shared" si="23"/>
        <v>0</v>
      </c>
      <c r="H33" s="554">
        <f t="shared" si="24"/>
        <v>0</v>
      </c>
      <c r="I33" s="56">
        <v>0</v>
      </c>
      <c r="J33" s="560">
        <f t="shared" si="25"/>
        <v>0</v>
      </c>
      <c r="K33" s="44"/>
    </row>
    <row r="34" spans="1:13" s="43" customFormat="1" ht="18.75" customHeight="1" thickBot="1" x14ac:dyDescent="0.25">
      <c r="A34" s="57">
        <v>3120212</v>
      </c>
      <c r="B34" s="58" t="s">
        <v>62</v>
      </c>
      <c r="C34" s="570">
        <v>166618000</v>
      </c>
      <c r="D34" s="59">
        <f>+'PLAN DE ADQUISICIONES 2016'!I29+'PLAN DE ADQUISICIONES 2016'!I30+'PLAN DE ADQUISICIONES 2016'!I31+'PLAN DE ADQUISICIONES 2016'!I32+'PLAN DE ADQUISICIONES 2016'!I33+'PLAN DE ADQUISICIONES 2016'!I34+'PLAN DE ADQUISICIONES 2016'!I35+'PLAN DE ADQUISICIONES 2016'!I36+'PLAN DE ADQUISICIONES 2016'!I37+'PLAN DE ADQUISICIONES 2016'!I38+'PLAN DE ADQUISICIONES 2016'!I39+'PLAN DE ADQUISICIONES 2016'!I40</f>
        <v>166618000</v>
      </c>
      <c r="E34" s="59">
        <f>+'PLAN DE ADQUISICIONES 2016'!J38+'PLAN DE ADQUISICIONES 2016'!J37+'PLAN DE ADQUISICIONES 2016'!J32</f>
        <v>73274060</v>
      </c>
      <c r="F34" s="55">
        <v>0</v>
      </c>
      <c r="G34" s="552">
        <f t="shared" ref="G34" si="26">+C34-E34-F34</f>
        <v>93343940</v>
      </c>
      <c r="H34" s="554">
        <f t="shared" ref="H34" si="27">+C34-D34-F34</f>
        <v>0</v>
      </c>
      <c r="I34" s="56">
        <v>92458895</v>
      </c>
      <c r="J34" s="560">
        <f t="shared" ref="J34" si="28">+C34-I34</f>
        <v>74159105</v>
      </c>
      <c r="K34" s="44"/>
    </row>
    <row r="35" spans="1:13" s="39" customFormat="1" ht="35.25" customHeight="1" thickBot="1" x14ac:dyDescent="0.25">
      <c r="A35" s="72">
        <v>3120213</v>
      </c>
      <c r="B35" s="73" t="s">
        <v>235</v>
      </c>
      <c r="C35" s="48">
        <f t="shared" ref="C35" si="29">SUM(C36)</f>
        <v>11000000</v>
      </c>
      <c r="D35" s="48">
        <f>+D36+D37+D38</f>
        <v>100000000</v>
      </c>
      <c r="E35" s="48">
        <f t="shared" ref="E35:J35" si="30">+E36+E37+E38</f>
        <v>0</v>
      </c>
      <c r="F35" s="48">
        <f t="shared" si="30"/>
        <v>0</v>
      </c>
      <c r="G35" s="48">
        <f t="shared" si="30"/>
        <v>111000000</v>
      </c>
      <c r="H35" s="48">
        <f t="shared" si="30"/>
        <v>11000000</v>
      </c>
      <c r="I35" s="48">
        <f t="shared" si="30"/>
        <v>111000000</v>
      </c>
      <c r="J35" s="48">
        <f t="shared" si="30"/>
        <v>0</v>
      </c>
    </row>
    <row r="36" spans="1:13" s="43" customFormat="1" ht="30" x14ac:dyDescent="0.2">
      <c r="A36" s="74">
        <v>312021399</v>
      </c>
      <c r="B36" s="75" t="s">
        <v>235</v>
      </c>
      <c r="C36" s="556">
        <v>11000000</v>
      </c>
      <c r="D36" s="52">
        <v>0</v>
      </c>
      <c r="E36" s="52">
        <v>0</v>
      </c>
      <c r="F36" s="52">
        <v>0</v>
      </c>
      <c r="G36" s="552">
        <f t="shared" ref="G36" si="31">+C36-E36-F36</f>
        <v>11000000</v>
      </c>
      <c r="H36" s="554">
        <f t="shared" ref="H36" si="32">+C36-D36-F36</f>
        <v>11000000</v>
      </c>
      <c r="I36" s="56">
        <v>11000000</v>
      </c>
      <c r="J36" s="560">
        <f t="shared" ref="J36" si="33">+C36-I36</f>
        <v>0</v>
      </c>
      <c r="K36" s="44"/>
    </row>
    <row r="37" spans="1:13" s="43" customFormat="1" ht="18" customHeight="1" x14ac:dyDescent="0.2">
      <c r="A37" s="41">
        <v>3120217</v>
      </c>
      <c r="B37" s="46" t="s">
        <v>110</v>
      </c>
      <c r="C37" s="557">
        <v>100000000</v>
      </c>
      <c r="D37" s="54">
        <f>+'PLAN DE ADQUISICIONES 2016'!I68</f>
        <v>100000000</v>
      </c>
      <c r="E37" s="54">
        <f>+'PLAN DE ADQUISICIONES 2016'!J68</f>
        <v>0</v>
      </c>
      <c r="F37" s="52"/>
      <c r="G37" s="552">
        <f t="shared" ref="G37" si="34">+C37-E37-F37</f>
        <v>100000000</v>
      </c>
      <c r="H37" s="554">
        <f t="shared" ref="H37" si="35">+C37-D37-F37</f>
        <v>0</v>
      </c>
      <c r="I37" s="56">
        <v>100000000</v>
      </c>
      <c r="J37" s="560">
        <f t="shared" ref="J37" si="36">+C37-I37</f>
        <v>0</v>
      </c>
      <c r="K37" s="44"/>
    </row>
    <row r="38" spans="1:13" s="43" customFormat="1" ht="18" customHeight="1" thickBot="1" x14ac:dyDescent="0.25">
      <c r="A38" s="57">
        <v>3120218</v>
      </c>
      <c r="B38" s="58" t="s">
        <v>236</v>
      </c>
      <c r="C38" s="570">
        <v>0</v>
      </c>
      <c r="D38" s="60"/>
      <c r="E38" s="60"/>
      <c r="F38" s="52"/>
      <c r="G38" s="552">
        <f t="shared" ref="G38" si="37">+C38-E38-F38</f>
        <v>0</v>
      </c>
      <c r="H38" s="554">
        <f t="shared" ref="H38" si="38">+C38-D38-F38</f>
        <v>0</v>
      </c>
      <c r="I38" s="56">
        <v>0</v>
      </c>
      <c r="J38" s="560">
        <f t="shared" ref="J38:J43" si="39">+C38-I38</f>
        <v>0</v>
      </c>
      <c r="K38" s="44"/>
    </row>
    <row r="39" spans="1:13" s="39" customFormat="1" ht="30.75" customHeight="1" thickBot="1" x14ac:dyDescent="0.25">
      <c r="A39" s="37">
        <v>31203</v>
      </c>
      <c r="B39" s="47" t="s">
        <v>237</v>
      </c>
      <c r="C39" s="48">
        <f t="shared" ref="C39:J39" si="40">SUM(C40)</f>
        <v>39640000</v>
      </c>
      <c r="D39" s="48">
        <f t="shared" si="40"/>
        <v>0</v>
      </c>
      <c r="E39" s="48">
        <f>SUM(E40)</f>
        <v>0</v>
      </c>
      <c r="F39" s="48">
        <f>SUM(F40)</f>
        <v>0</v>
      </c>
      <c r="G39" s="48">
        <f t="shared" si="40"/>
        <v>39640000</v>
      </c>
      <c r="H39" s="50">
        <f t="shared" si="40"/>
        <v>39640000</v>
      </c>
      <c r="I39" s="51">
        <f t="shared" si="40"/>
        <v>6138000</v>
      </c>
      <c r="J39" s="48">
        <f t="shared" si="40"/>
        <v>33502000</v>
      </c>
    </row>
    <row r="40" spans="1:13" s="43" customFormat="1" ht="48.75" customHeight="1" thickBot="1" x14ac:dyDescent="0.25">
      <c r="A40" s="63">
        <v>3120302</v>
      </c>
      <c r="B40" s="46" t="s">
        <v>474</v>
      </c>
      <c r="C40" s="575">
        <v>39640000</v>
      </c>
      <c r="D40" s="113">
        <v>0</v>
      </c>
      <c r="E40" s="113">
        <v>0</v>
      </c>
      <c r="F40" s="52">
        <v>0</v>
      </c>
      <c r="G40" s="552">
        <f t="shared" ref="G40" si="41">+C40-E40-F40</f>
        <v>39640000</v>
      </c>
      <c r="H40" s="554">
        <f t="shared" ref="H40" si="42">+C40-D40-F40</f>
        <v>39640000</v>
      </c>
      <c r="I40" s="56">
        <v>6138000</v>
      </c>
      <c r="J40" s="560">
        <f t="shared" si="39"/>
        <v>33502000</v>
      </c>
    </row>
    <row r="41" spans="1:13" s="39" customFormat="1" ht="16.5" thickBot="1" x14ac:dyDescent="0.25">
      <c r="A41" s="76">
        <v>33</v>
      </c>
      <c r="B41" s="77" t="s">
        <v>238</v>
      </c>
      <c r="C41" s="78">
        <f t="shared" ref="C41:J41" si="43">SUM(C42:C43)</f>
        <v>8111000000</v>
      </c>
      <c r="D41" s="78">
        <f t="shared" si="43"/>
        <v>8111000000</v>
      </c>
      <c r="E41" s="78">
        <f>SUM(E42:E43)</f>
        <v>1112126017</v>
      </c>
      <c r="F41" s="79">
        <f>SUM(F42:F43)</f>
        <v>14736056</v>
      </c>
      <c r="G41" s="79">
        <f t="shared" si="43"/>
        <v>6984137927</v>
      </c>
      <c r="H41" s="80">
        <f t="shared" si="43"/>
        <v>-14736056</v>
      </c>
      <c r="I41" s="81">
        <f t="shared" si="43"/>
        <v>5951833263</v>
      </c>
      <c r="J41" s="79">
        <f t="shared" si="43"/>
        <v>2159166737</v>
      </c>
    </row>
    <row r="42" spans="1:13" s="43" customFormat="1" ht="30" x14ac:dyDescent="0.2">
      <c r="A42" s="82" t="s">
        <v>138</v>
      </c>
      <c r="B42" s="42" t="s">
        <v>239</v>
      </c>
      <c r="C42" s="556">
        <v>1190000000</v>
      </c>
      <c r="D42" s="53">
        <f>+'PLAN DE ADQUISICIONES 2016'!I8+'PLAN DE ADQUISICIONES 2016'!I74+'PLAN DE ADQUISICIONES 2016'!I75+'PLAN DE ADQUISICIONES 2016'!I82</f>
        <v>1190000000</v>
      </c>
      <c r="E42" s="53">
        <f>+'PLAN DE ADQUISICIONES 2016'!J8+'PLAN DE ADQUISICIONES 2016'!J74+'PLAN DE ADQUISICIONES 2016'!J75+'PLAN DE ADQUISICIONES 2016'!J82</f>
        <v>0</v>
      </c>
      <c r="F42" s="52">
        <v>0</v>
      </c>
      <c r="G42" s="552">
        <f t="shared" ref="G42:G43" si="44">+C42-E42-F42</f>
        <v>1190000000</v>
      </c>
      <c r="H42" s="554">
        <f t="shared" ref="H42:H43" si="45">+C42-D42-F42</f>
        <v>0</v>
      </c>
      <c r="I42" s="56">
        <v>172458053</v>
      </c>
      <c r="J42" s="560">
        <f t="shared" si="39"/>
        <v>1017541947</v>
      </c>
      <c r="K42" s="44"/>
    </row>
    <row r="43" spans="1:13" s="43" customFormat="1" ht="62.25" customHeight="1" thickBot="1" x14ac:dyDescent="0.25">
      <c r="A43" s="83" t="s">
        <v>98</v>
      </c>
      <c r="B43" s="84" t="s">
        <v>99</v>
      </c>
      <c r="C43" s="556">
        <v>6921000000</v>
      </c>
      <c r="D43" s="60">
        <f>+'PLAN DE ADQUISICIONES 2016'!I46+'PLAN DE ADQUISICIONES 2016'!I47+'PLAN DE ADQUISICIONES 2016'!I48+'PLAN DE ADQUISICIONES 2016'!I49+'PLAN DE ADQUISICIONES 2016'!I50+'PLAN DE ADQUISICIONES 2016'!I51+'PLAN DE ADQUISICIONES 2016'!I52+'PLAN DE ADQUISICIONES 2016'!I53+'PLAN DE ADQUISICIONES 2016'!I54+'PLAN DE ADQUISICIONES 2016'!I55+'PLAN DE ADQUISICIONES 2016'!I56+'PLAN DE ADQUISICIONES 2016'!I57+'PLAN DE ADQUISICIONES 2016'!I58+'PLAN DE ADQUISICIONES 2016'!I59+'PLAN DE ADQUISICIONES 2016'!I60+'PLAN DE ADQUISICIONES 2016'!I61+'PLAN DE ADQUISICIONES 2016'!I62+'PLAN DE ADQUISICIONES 2016'!I63+'PLAN DE ADQUISICIONES 2016'!I64+'PLAN DE ADQUISICIONES 2016'!I102+'PLAN DE ADQUISICIONES 2016'!I103+'PLAN DE ADQUISICIONES 2016'!I104+'PLAN DE ADQUISICIONES 2016'!I105+'PLAN DE ADQUISICIONES 2016'!I106+'PLAN DE ADQUISICIONES 2016'!I107+'PLAN DE ADQUISICIONES 2016'!I108+'PLAN DE ADQUISICIONES 2016'!I109+'PLAN DE ADQUISICIONES 2016'!I110+'PLAN DE ADQUISICIONES 2016'!I111+'PLAN DE ADQUISICIONES 2016'!I112+'PLAN DE ADQUISICIONES 2016'!I113+'PLAN DE ADQUISICIONES 2016'!I114+'PLAN DE ADQUISICIONES 2016'!I115+'PLAN DE ADQUISICIONES 2016'!I116+'PLAN DE ADQUISICIONES 2016'!I117+'PLAN DE ADQUISICIONES 2016'!I118+'PLAN DE ADQUISICIONES 2016'!I119+'PLAN DE ADQUISICIONES 2016'!I120+'PLAN DE ADQUISICIONES 2016'!I121+'PLAN DE ADQUISICIONES 2016'!I122+'PLAN DE ADQUISICIONES 2016'!I123+'PLAN DE ADQUISICIONES 2016'!I124+'PLAN DE ADQUISICIONES 2016'!I125+'PLAN DE ADQUISICIONES 2016'!I126+'PLAN DE ADQUISICIONES 2016'!I127+'PLAN DE ADQUISICIONES 2016'!I128+'PLAN DE ADQUISICIONES 2016'!I129+'PLAN DE ADQUISICIONES 2016'!I130+'PLAN DE ADQUISICIONES 2016'!I132+'PLAN DE ADQUISICIONES 2016'!I133+'PLAN DE ADQUISICIONES 2016'!I134+'PLAN DE ADQUISICIONES 2016'!I135+'PLAN DE ADQUISICIONES 2016'!I136+'PLAN DE ADQUISICIONES 2016'!I137</f>
        <v>6921000000</v>
      </c>
      <c r="E43" s="60">
        <f>+'PLAN DE ADQUISICIONES 2016'!J46+'PLAN DE ADQUISICIONES 2016'!J47+'PLAN DE ADQUISICIONES 2016'!J48+'PLAN DE ADQUISICIONES 2016'!J49+'PLAN DE ADQUISICIONES 2016'!J50+'PLAN DE ADQUISICIONES 2016'!J51+'PLAN DE ADQUISICIONES 2016'!J52+'PLAN DE ADQUISICIONES 2016'!J53+'PLAN DE ADQUISICIONES 2016'!J54+'PLAN DE ADQUISICIONES 2016'!J55+'PLAN DE ADQUISICIONES 2016'!J56+'PLAN DE ADQUISICIONES 2016'!J57+'PLAN DE ADQUISICIONES 2016'!J58+'PLAN DE ADQUISICIONES 2016'!J59+'PLAN DE ADQUISICIONES 2016'!J60+'PLAN DE ADQUISICIONES 2016'!J61+'PLAN DE ADQUISICIONES 2016'!J62+'PLAN DE ADQUISICIONES 2016'!J63+'PLAN DE ADQUISICIONES 2016'!J64+'PLAN DE ADQUISICIONES 2016'!J102+'PLAN DE ADQUISICIONES 2016'!J103+'PLAN DE ADQUISICIONES 2016'!J104+'PLAN DE ADQUISICIONES 2016'!J105+'PLAN DE ADQUISICIONES 2016'!J106+'PLAN DE ADQUISICIONES 2016'!J107+'PLAN DE ADQUISICIONES 2016'!J108+'PLAN DE ADQUISICIONES 2016'!J109+'PLAN DE ADQUISICIONES 2016'!J110+'PLAN DE ADQUISICIONES 2016'!J111+'PLAN DE ADQUISICIONES 2016'!J112+'PLAN DE ADQUISICIONES 2016'!J113+'PLAN DE ADQUISICIONES 2016'!J114+'PLAN DE ADQUISICIONES 2016'!J115+'PLAN DE ADQUISICIONES 2016'!J116+'PLAN DE ADQUISICIONES 2016'!J117+'PLAN DE ADQUISICIONES 2016'!J118+'PLAN DE ADQUISICIONES 2016'!J119+'PLAN DE ADQUISICIONES 2016'!J120+'PLAN DE ADQUISICIONES 2016'!J121+'PLAN DE ADQUISICIONES 2016'!J122+'PLAN DE ADQUISICIONES 2016'!J123+'PLAN DE ADQUISICIONES 2016'!J124+'PLAN DE ADQUISICIONES 2016'!J125+'PLAN DE ADQUISICIONES 2016'!J126+'PLAN DE ADQUISICIONES 2016'!J127+'PLAN DE ADQUISICIONES 2016'!J128+'PLAN DE ADQUISICIONES 2016'!J129+'PLAN DE ADQUISICIONES 2016'!J130+'PLAN DE ADQUISICIONES 2016'!J132+'PLAN DE ADQUISICIONES 2016'!J133+'PLAN DE ADQUISICIONES 2016'!J134+'PLAN DE ADQUISICIONES 2016'!J135+'PLAN DE ADQUISICIONES 2016'!J136+'PLAN DE ADQUISICIONES 2016'!J137</f>
        <v>1112126017</v>
      </c>
      <c r="F43" s="52">
        <f>+'ADICIONES A CONTRATOS'!H11+'ADICIONES A CONTRATOS'!H13+'ADICIONES A CONTRATOS'!H14+'ADICIONES A CONTRATOS'!H15+'ADICIONES A CONTRATOS'!H16</f>
        <v>14736056</v>
      </c>
      <c r="G43" s="552">
        <f t="shared" si="44"/>
        <v>5794137927</v>
      </c>
      <c r="H43" s="554">
        <f t="shared" si="45"/>
        <v>-14736056</v>
      </c>
      <c r="I43" s="61">
        <v>5779375210</v>
      </c>
      <c r="J43" s="560">
        <f t="shared" si="39"/>
        <v>1141624790</v>
      </c>
      <c r="K43" s="44"/>
    </row>
    <row r="44" spans="1:13" s="39" customFormat="1" ht="48.75" customHeight="1" thickBot="1" x14ac:dyDescent="0.25">
      <c r="A44" s="354"/>
      <c r="B44" s="355" t="s">
        <v>240</v>
      </c>
      <c r="C44" s="85">
        <f>+C41+C10+C13</f>
        <v>13575800000</v>
      </c>
      <c r="D44" s="85">
        <f t="shared" ref="D44:J44" si="46">+D41+D10+D13</f>
        <v>12126930594</v>
      </c>
      <c r="E44" s="85">
        <f t="shared" si="46"/>
        <v>1794743040</v>
      </c>
      <c r="F44" s="85">
        <f t="shared" si="46"/>
        <v>371761737</v>
      </c>
      <c r="G44" s="85">
        <f t="shared" si="46"/>
        <v>11409295223</v>
      </c>
      <c r="H44" s="85">
        <f t="shared" si="46"/>
        <v>1077107669</v>
      </c>
      <c r="I44" s="85">
        <f t="shared" si="46"/>
        <v>8741223155</v>
      </c>
      <c r="J44" s="85">
        <f t="shared" si="46"/>
        <v>4834576845</v>
      </c>
      <c r="K44" s="356"/>
      <c r="L44" s="389"/>
      <c r="M44" s="390"/>
    </row>
    <row r="45" spans="1:13" ht="11.25" customHeight="1" x14ac:dyDescent="0.2">
      <c r="A45" s="86"/>
      <c r="B45" s="30"/>
      <c r="C45" s="87"/>
      <c r="D45" s="87"/>
      <c r="E45" s="87"/>
      <c r="F45" s="88"/>
      <c r="G45" s="88"/>
      <c r="H45" s="88"/>
      <c r="I45" s="30"/>
      <c r="J45" s="88"/>
      <c r="K45" s="31"/>
      <c r="L45" s="344"/>
    </row>
    <row r="46" spans="1:13" ht="30.75" customHeight="1" x14ac:dyDescent="0.2">
      <c r="A46" s="89"/>
      <c r="B46" s="90"/>
      <c r="C46" s="91" t="s">
        <v>241</v>
      </c>
      <c r="D46" s="91"/>
      <c r="E46" s="91"/>
      <c r="F46" s="92">
        <f>D44</f>
        <v>12126930594</v>
      </c>
      <c r="G46" s="357"/>
      <c r="H46" s="357"/>
      <c r="I46" s="94"/>
      <c r="J46" s="94"/>
      <c r="K46" s="95"/>
      <c r="L46" s="95"/>
      <c r="M46" s="96"/>
    </row>
    <row r="47" spans="1:13" x14ac:dyDescent="0.2">
      <c r="A47" s="89"/>
      <c r="B47" s="90"/>
      <c r="C47" s="97" t="s">
        <v>242</v>
      </c>
      <c r="D47" s="97"/>
      <c r="E47" s="97"/>
      <c r="F47" s="97">
        <f>F46-F48</f>
        <v>4015930594</v>
      </c>
      <c r="G47" s="93"/>
      <c r="H47" s="93"/>
      <c r="I47" s="93"/>
      <c r="J47" s="94"/>
      <c r="K47" s="95"/>
      <c r="L47" s="95"/>
      <c r="M47" s="96"/>
    </row>
    <row r="48" spans="1:13" ht="13.5" thickBot="1" x14ac:dyDescent="0.25">
      <c r="A48" s="98"/>
      <c r="B48" s="99"/>
      <c r="C48" s="100" t="s">
        <v>238</v>
      </c>
      <c r="D48" s="100"/>
      <c r="E48" s="100"/>
      <c r="F48" s="100">
        <f>D41</f>
        <v>8111000000</v>
      </c>
      <c r="G48" s="101"/>
      <c r="H48" s="101"/>
      <c r="I48" s="101"/>
      <c r="J48" s="101"/>
      <c r="K48" s="102"/>
      <c r="L48" s="102"/>
    </row>
    <row r="49" spans="1:13" s="33" customFormat="1" ht="16.5" customHeight="1" x14ac:dyDescent="0.2">
      <c r="A49" s="104"/>
      <c r="B49" s="105"/>
      <c r="C49" s="105"/>
      <c r="D49" s="105"/>
      <c r="E49" s="105"/>
      <c r="F49" s="87"/>
      <c r="G49" s="87"/>
      <c r="H49" s="87"/>
      <c r="I49" s="87"/>
      <c r="J49" s="87"/>
      <c r="K49" s="106"/>
      <c r="L49" s="395"/>
      <c r="M49" s="551"/>
    </row>
    <row r="50" spans="1:13" x14ac:dyDescent="0.2">
      <c r="A50" s="89" t="s">
        <v>243</v>
      </c>
      <c r="B50" s="33"/>
      <c r="C50" s="33"/>
      <c r="D50" s="33"/>
      <c r="E50" s="33"/>
      <c r="F50" s="33"/>
      <c r="G50" s="33"/>
      <c r="H50" s="33"/>
      <c r="I50" s="107"/>
      <c r="J50" s="33"/>
      <c r="K50" s="33"/>
      <c r="L50" s="108"/>
      <c r="M50" s="33"/>
    </row>
    <row r="51" spans="1:13" x14ac:dyDescent="0.2">
      <c r="A51" s="109" t="s">
        <v>475</v>
      </c>
      <c r="B51" s="33"/>
      <c r="C51" s="33"/>
      <c r="D51" s="33"/>
      <c r="E51" s="33"/>
      <c r="F51" s="33"/>
      <c r="G51" s="33"/>
      <c r="H51" s="33"/>
      <c r="I51" s="33"/>
      <c r="J51" s="33"/>
      <c r="K51" s="33"/>
      <c r="L51" s="108"/>
      <c r="M51" s="33"/>
    </row>
    <row r="52" spans="1:13" s="32" customFormat="1" x14ac:dyDescent="0.2">
      <c r="A52" s="615" t="s">
        <v>704</v>
      </c>
      <c r="B52" s="616"/>
      <c r="C52" s="616"/>
      <c r="D52" s="616"/>
      <c r="E52" s="616"/>
      <c r="F52" s="616"/>
      <c r="G52" s="616"/>
      <c r="H52" s="616"/>
      <c r="I52" s="616"/>
      <c r="J52" s="616"/>
      <c r="K52" s="616"/>
      <c r="L52" s="617"/>
      <c r="M52" s="471"/>
    </row>
    <row r="53" spans="1:13" s="32" customFormat="1" x14ac:dyDescent="0.2">
      <c r="A53" s="615" t="s">
        <v>705</v>
      </c>
      <c r="B53" s="616"/>
      <c r="C53" s="616"/>
      <c r="D53" s="616"/>
      <c r="E53" s="616"/>
      <c r="F53" s="616"/>
      <c r="G53" s="616"/>
      <c r="H53" s="616"/>
      <c r="I53" s="616"/>
      <c r="J53" s="616"/>
      <c r="K53" s="616"/>
      <c r="L53" s="617"/>
      <c r="M53" s="471"/>
    </row>
    <row r="54" spans="1:13" s="32" customFormat="1" ht="24" customHeight="1" x14ac:dyDescent="0.2">
      <c r="A54" s="615"/>
      <c r="B54" s="616"/>
      <c r="C54" s="616"/>
      <c r="D54" s="616"/>
      <c r="E54" s="616"/>
      <c r="F54" s="616"/>
      <c r="G54" s="616"/>
      <c r="H54" s="616"/>
      <c r="I54" s="616"/>
      <c r="J54" s="616"/>
      <c r="K54" s="616"/>
      <c r="L54" s="617"/>
      <c r="M54" s="471"/>
    </row>
    <row r="55" spans="1:13" s="33" customFormat="1" ht="13.5" thickBot="1" x14ac:dyDescent="0.25">
      <c r="A55" s="110"/>
      <c r="B55" s="111"/>
      <c r="C55" s="112"/>
      <c r="D55" s="112"/>
      <c r="E55" s="112"/>
      <c r="F55" s="111"/>
      <c r="G55" s="111"/>
      <c r="H55" s="111"/>
      <c r="I55" s="111"/>
      <c r="J55" s="111"/>
      <c r="K55" s="111"/>
      <c r="L55" s="396"/>
      <c r="M55" s="394"/>
    </row>
    <row r="56" spans="1:13" s="33" customFormat="1" x14ac:dyDescent="0.2">
      <c r="A56" s="392"/>
      <c r="B56" s="392"/>
      <c r="C56" s="393"/>
      <c r="D56" s="393"/>
      <c r="E56" s="393"/>
      <c r="F56" s="392"/>
      <c r="G56" s="392"/>
      <c r="H56" s="392"/>
      <c r="I56" s="392"/>
      <c r="J56" s="392"/>
      <c r="K56" s="392"/>
      <c r="L56" s="392"/>
      <c r="M56" s="394"/>
    </row>
    <row r="57" spans="1:13" s="33" customFormat="1" x14ac:dyDescent="0.2">
      <c r="A57" s="392"/>
      <c r="B57" s="392"/>
      <c r="C57" s="393"/>
      <c r="D57" s="393"/>
      <c r="E57" s="393"/>
      <c r="F57" s="392"/>
      <c r="G57" s="392"/>
      <c r="H57" s="392"/>
      <c r="I57" s="392"/>
      <c r="J57" s="392"/>
      <c r="K57" s="392"/>
      <c r="L57" s="392"/>
      <c r="M57" s="394"/>
    </row>
    <row r="58" spans="1:13" s="33" customFormat="1" x14ac:dyDescent="0.2">
      <c r="A58" s="392"/>
      <c r="B58" s="392"/>
      <c r="C58" s="393"/>
      <c r="D58" s="393"/>
      <c r="E58" s="393"/>
      <c r="F58" s="392"/>
      <c r="G58" s="392"/>
      <c r="H58" s="392"/>
      <c r="I58" s="392"/>
      <c r="J58" s="392"/>
      <c r="K58" s="392"/>
      <c r="L58" s="392"/>
      <c r="M58" s="394"/>
    </row>
    <row r="59" spans="1:13" s="33" customFormat="1" x14ac:dyDescent="0.2">
      <c r="A59" s="392"/>
      <c r="B59" s="392"/>
      <c r="C59" s="393"/>
      <c r="D59" s="393"/>
      <c r="E59" s="393"/>
      <c r="F59" s="392"/>
      <c r="G59" s="392"/>
      <c r="H59" s="392"/>
      <c r="I59" s="392"/>
      <c r="J59" s="392"/>
      <c r="K59" s="392"/>
      <c r="L59" s="392"/>
      <c r="M59" s="394"/>
    </row>
    <row r="60" spans="1:13" s="33" customFormat="1" x14ac:dyDescent="0.2">
      <c r="A60" s="392"/>
      <c r="B60" s="392"/>
      <c r="C60" s="393"/>
      <c r="D60" s="393"/>
      <c r="E60" s="393"/>
      <c r="F60" s="392"/>
      <c r="G60" s="392"/>
      <c r="H60" s="392"/>
      <c r="I60" s="392"/>
      <c r="J60" s="392"/>
      <c r="K60" s="392"/>
      <c r="L60" s="392"/>
      <c r="M60" s="394"/>
    </row>
    <row r="61" spans="1:13" s="33" customFormat="1" x14ac:dyDescent="0.2">
      <c r="A61" s="392"/>
      <c r="B61" s="392"/>
      <c r="C61" s="393"/>
      <c r="D61" s="393"/>
      <c r="E61" s="393"/>
      <c r="F61" s="392"/>
      <c r="G61" s="392"/>
      <c r="H61" s="392"/>
      <c r="I61" s="392"/>
      <c r="J61" s="392"/>
      <c r="K61" s="392"/>
      <c r="L61" s="392"/>
      <c r="M61" s="394"/>
    </row>
    <row r="62" spans="1:13" s="33" customFormat="1" x14ac:dyDescent="0.2">
      <c r="A62" s="392"/>
      <c r="B62" s="392"/>
      <c r="C62" s="393"/>
      <c r="D62" s="393"/>
      <c r="E62" s="393"/>
      <c r="F62" s="392"/>
      <c r="G62" s="392"/>
      <c r="H62" s="392"/>
      <c r="I62" s="392"/>
      <c r="J62" s="392"/>
      <c r="K62" s="392"/>
      <c r="L62" s="392"/>
      <c r="M62" s="394"/>
    </row>
    <row r="63" spans="1:13" s="33" customFormat="1" x14ac:dyDescent="0.2">
      <c r="A63" s="392"/>
      <c r="B63" s="392"/>
      <c r="C63" s="393"/>
      <c r="D63" s="393"/>
      <c r="E63" s="393"/>
      <c r="F63" s="392"/>
      <c r="G63" s="392"/>
      <c r="H63" s="392"/>
      <c r="I63" s="392"/>
      <c r="J63" s="392"/>
      <c r="K63" s="392"/>
      <c r="L63" s="392"/>
      <c r="M63" s="394"/>
    </row>
    <row r="64" spans="1:13" s="33" customFormat="1" x14ac:dyDescent="0.2">
      <c r="A64" s="392"/>
      <c r="B64" s="392"/>
      <c r="C64" s="393"/>
      <c r="D64" s="393"/>
      <c r="E64" s="393"/>
      <c r="F64" s="392"/>
      <c r="G64" s="392"/>
      <c r="H64" s="392"/>
      <c r="I64" s="392"/>
      <c r="J64" s="392"/>
      <c r="K64" s="392"/>
      <c r="L64" s="392"/>
      <c r="M64" s="394"/>
    </row>
    <row r="65" spans="1:13" s="33" customFormat="1" x14ac:dyDescent="0.2">
      <c r="A65" s="392"/>
      <c r="B65" s="392"/>
      <c r="C65" s="393"/>
      <c r="D65" s="393"/>
      <c r="E65" s="393"/>
      <c r="F65" s="392"/>
      <c r="G65" s="392"/>
      <c r="H65" s="392"/>
      <c r="I65" s="392"/>
      <c r="J65" s="392"/>
      <c r="K65" s="392"/>
      <c r="L65" s="392"/>
      <c r="M65" s="394"/>
    </row>
    <row r="66" spans="1:13" s="33" customFormat="1" x14ac:dyDescent="0.2">
      <c r="A66" s="392"/>
      <c r="B66" s="392"/>
      <c r="C66" s="393"/>
      <c r="D66" s="393"/>
      <c r="E66" s="393"/>
      <c r="F66" s="392"/>
      <c r="G66" s="392"/>
      <c r="H66" s="392"/>
      <c r="I66" s="392"/>
      <c r="J66" s="392"/>
      <c r="K66" s="392"/>
      <c r="L66" s="392"/>
      <c r="M66" s="394"/>
    </row>
    <row r="67" spans="1:13" s="33" customFormat="1" x14ac:dyDescent="0.2">
      <c r="A67" s="392"/>
      <c r="B67" s="392"/>
      <c r="C67" s="393"/>
      <c r="D67" s="393"/>
      <c r="E67" s="393"/>
      <c r="F67" s="392"/>
      <c r="G67" s="392"/>
      <c r="H67" s="392"/>
      <c r="I67" s="392"/>
      <c r="J67" s="392"/>
      <c r="K67" s="392"/>
      <c r="L67" s="392"/>
      <c r="M67" s="394"/>
    </row>
    <row r="68" spans="1:13" s="33" customFormat="1" x14ac:dyDescent="0.2">
      <c r="A68" s="392"/>
      <c r="B68" s="392"/>
      <c r="C68" s="393"/>
      <c r="D68" s="393"/>
      <c r="E68" s="393"/>
      <c r="F68" s="392"/>
      <c r="G68" s="392"/>
      <c r="H68" s="392"/>
      <c r="I68" s="392"/>
      <c r="J68" s="392"/>
      <c r="K68" s="392"/>
      <c r="L68" s="392"/>
      <c r="M68" s="394"/>
    </row>
    <row r="69" spans="1:13" s="33" customFormat="1" x14ac:dyDescent="0.2">
      <c r="A69" s="392"/>
      <c r="B69" s="392"/>
      <c r="C69" s="393"/>
      <c r="D69" s="393"/>
      <c r="E69" s="393"/>
      <c r="F69" s="392"/>
      <c r="G69" s="392"/>
      <c r="H69" s="392"/>
      <c r="I69" s="392"/>
      <c r="J69" s="392"/>
      <c r="K69" s="392"/>
      <c r="L69" s="392"/>
      <c r="M69" s="394"/>
    </row>
    <row r="70" spans="1:13" s="33" customFormat="1" x14ac:dyDescent="0.2">
      <c r="A70" s="392"/>
      <c r="B70" s="392"/>
      <c r="C70" s="393"/>
      <c r="D70" s="393"/>
      <c r="E70" s="393"/>
      <c r="F70" s="392"/>
      <c r="G70" s="392"/>
      <c r="H70" s="392"/>
      <c r="I70" s="392"/>
      <c r="J70" s="392"/>
      <c r="K70" s="392"/>
      <c r="L70" s="392"/>
      <c r="M70" s="394"/>
    </row>
    <row r="71" spans="1:13" s="33" customFormat="1" x14ac:dyDescent="0.2">
      <c r="A71" s="392"/>
      <c r="B71" s="392"/>
      <c r="C71" s="393"/>
      <c r="D71" s="393"/>
      <c r="E71" s="393"/>
      <c r="F71" s="392"/>
      <c r="G71" s="392"/>
      <c r="H71" s="392"/>
      <c r="I71" s="392"/>
      <c r="J71" s="392"/>
      <c r="K71" s="392"/>
      <c r="L71" s="392"/>
      <c r="M71" s="394"/>
    </row>
    <row r="72" spans="1:13" s="33" customFormat="1" x14ac:dyDescent="0.2">
      <c r="A72" s="392"/>
      <c r="B72" s="392"/>
      <c r="C72" s="393"/>
      <c r="D72" s="393"/>
      <c r="E72" s="393"/>
      <c r="F72" s="392"/>
      <c r="G72" s="392"/>
      <c r="H72" s="392"/>
      <c r="I72" s="392"/>
      <c r="J72" s="392"/>
      <c r="K72" s="392"/>
      <c r="L72" s="392"/>
      <c r="M72" s="394"/>
    </row>
    <row r="73" spans="1:13" ht="15" x14ac:dyDescent="0.2">
      <c r="A73" s="376"/>
      <c r="B73" s="376"/>
      <c r="C73" s="376"/>
      <c r="D73" s="376"/>
      <c r="E73" s="376"/>
      <c r="F73" s="376"/>
      <c r="G73" s="376"/>
      <c r="H73" s="33"/>
      <c r="I73" s="33"/>
      <c r="J73" s="33"/>
      <c r="K73" s="33"/>
      <c r="L73" s="33"/>
      <c r="M73" s="33"/>
    </row>
    <row r="74" spans="1:13" s="33" customFormat="1" ht="15" x14ac:dyDescent="0.2">
      <c r="A74" s="376"/>
      <c r="B74" s="376"/>
      <c r="C74" s="376"/>
      <c r="D74" s="376"/>
      <c r="E74" s="376"/>
      <c r="F74" s="376"/>
      <c r="G74" s="376"/>
    </row>
    <row r="75" spans="1:13" s="33" customFormat="1" x14ac:dyDescent="0.2"/>
    <row r="76" spans="1:13" x14ac:dyDescent="0.2">
      <c r="K76" s="33"/>
      <c r="L76" s="33"/>
      <c r="M76" s="33"/>
    </row>
    <row r="77" spans="1:13" x14ac:dyDescent="0.2">
      <c r="K77" s="33"/>
      <c r="L77" s="33"/>
      <c r="M77" s="33"/>
    </row>
    <row r="78" spans="1:13" x14ac:dyDescent="0.2">
      <c r="K78" s="33"/>
      <c r="L78" s="33"/>
      <c r="M78" s="33"/>
    </row>
    <row r="79" spans="1:13" x14ac:dyDescent="0.2">
      <c r="K79" s="33"/>
      <c r="L79" s="33"/>
      <c r="M79" s="33"/>
    </row>
    <row r="80" spans="1:13" x14ac:dyDescent="0.2">
      <c r="K80" s="33"/>
      <c r="L80" s="33"/>
      <c r="M80" s="33"/>
    </row>
  </sheetData>
  <sheetProtection algorithmName="SHA-512" hashValue="uK0ufgPH8dGHHBAn5aBnsTS6Xx899ZWbzOq+JB5dhYIMo5L5CcRHD9gpNxaKFOMf6VpyBlohOYNnXF72icDuMg==" saltValue="YxUUCWv6UPxf0/hPRdkSaA==" spinCount="100000" sheet="1" objects="1" scenarios="1" formatCells="0" formatColumns="0" formatRows="0" insertColumns="0" insertRows="0" insertHyperlinks="0" deleteColumns="0" deleteRows="0" sort="0" autoFilter="0" pivotTables="0"/>
  <mergeCells count="7">
    <mergeCell ref="A54:L54"/>
    <mergeCell ref="A53:L53"/>
    <mergeCell ref="B1:F1"/>
    <mergeCell ref="B2:F2"/>
    <mergeCell ref="B3:F3"/>
    <mergeCell ref="B4:F4"/>
    <mergeCell ref="A52:L52"/>
  </mergeCells>
  <pageMargins left="1.299212598425197" right="0.31496062992125984" top="0.74803149606299213" bottom="0.74803149606299213" header="0.31496062992125984" footer="0.31496062992125984"/>
  <pageSetup scale="4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41"/>
  <sheetViews>
    <sheetView showGridLines="0" tabSelected="1" zoomScale="55" zoomScaleNormal="55" zoomScaleSheetLayoutView="25" workbookViewId="0">
      <pane ySplit="6" topLeftCell="A7" activePane="bottomLeft" state="frozen"/>
      <selection pane="bottomLeft" activeCell="K138" sqref="K138"/>
    </sheetView>
  </sheetViews>
  <sheetFormatPr baseColWidth="10" defaultColWidth="9.140625" defaultRowHeight="12.75" x14ac:dyDescent="0.2"/>
  <cols>
    <col min="1" max="1" width="8" style="12" customWidth="1"/>
    <col min="2" max="2" width="18" customWidth="1"/>
    <col min="3" max="3" width="14" style="12" customWidth="1"/>
    <col min="4" max="4" width="14.140625" customWidth="1"/>
    <col min="5" max="5" width="14.42578125" style="129" customWidth="1"/>
    <col min="6" max="6" width="20" style="130" customWidth="1"/>
    <col min="7" max="7" width="15.42578125" style="2" customWidth="1"/>
    <col min="8" max="8" width="18.7109375" style="2" customWidth="1"/>
    <col min="9" max="9" width="18.140625" style="463" customWidth="1"/>
    <col min="10" max="10" width="16.5703125" style="123" customWidth="1"/>
    <col min="11" max="11" width="22.140625" style="123" customWidth="1"/>
    <col min="12" max="12" width="13.7109375" style="124" customWidth="1"/>
    <col min="13" max="13" width="11.7109375" style="124" customWidth="1"/>
    <col min="14" max="14" width="9.140625" style="12" customWidth="1"/>
    <col min="15" max="15" width="15.28515625" style="124" customWidth="1"/>
    <col min="16" max="16" width="17.140625" customWidth="1"/>
    <col min="17" max="17" width="33.85546875" customWidth="1"/>
    <col min="18" max="18" width="51.28515625" customWidth="1"/>
    <col min="19" max="19" width="18" customWidth="1"/>
    <col min="20" max="20" width="17.28515625" customWidth="1"/>
    <col min="21" max="21" width="13.7109375" customWidth="1"/>
    <col min="22" max="22" width="17" customWidth="1"/>
    <col min="23" max="23" width="18.85546875" customWidth="1"/>
    <col min="24" max="24" width="18.42578125" customWidth="1"/>
    <col min="25" max="257" width="11.42578125" customWidth="1"/>
  </cols>
  <sheetData>
    <row r="1" spans="1:240" ht="22.5" customHeight="1" x14ac:dyDescent="0.2">
      <c r="A1" s="118"/>
      <c r="B1" s="31"/>
      <c r="C1" s="622" t="s">
        <v>625</v>
      </c>
      <c r="D1" s="622"/>
      <c r="E1" s="622"/>
      <c r="F1" s="622"/>
      <c r="G1" s="622"/>
      <c r="H1" s="622"/>
      <c r="I1" s="623"/>
      <c r="J1" s="622"/>
      <c r="K1" s="622"/>
      <c r="L1" s="622"/>
      <c r="M1" s="622"/>
      <c r="N1" s="622"/>
      <c r="O1" s="622"/>
      <c r="P1" s="622"/>
      <c r="Q1" s="622"/>
      <c r="R1" s="624"/>
      <c r="S1" s="30"/>
      <c r="T1" s="30"/>
      <c r="U1" s="31"/>
    </row>
    <row r="2" spans="1:240" ht="18" customHeight="1" x14ac:dyDescent="0.2">
      <c r="A2" s="119"/>
      <c r="B2" s="108"/>
      <c r="C2" s="625"/>
      <c r="D2" s="625"/>
      <c r="E2" s="625"/>
      <c r="F2" s="625"/>
      <c r="G2" s="625"/>
      <c r="H2" s="625"/>
      <c r="I2" s="626"/>
      <c r="J2" s="625"/>
      <c r="K2" s="625"/>
      <c r="L2" s="625"/>
      <c r="M2" s="625"/>
      <c r="N2" s="625"/>
      <c r="O2" s="625"/>
      <c r="P2" s="625"/>
      <c r="Q2" s="625"/>
      <c r="R2" s="627"/>
      <c r="S2" s="33"/>
      <c r="T2" s="33"/>
      <c r="U2" s="108"/>
    </row>
    <row r="3" spans="1:240" ht="23.25" customHeight="1" x14ac:dyDescent="0.2">
      <c r="A3" s="119"/>
      <c r="B3" s="108"/>
      <c r="C3" s="625"/>
      <c r="D3" s="625"/>
      <c r="E3" s="625"/>
      <c r="F3" s="625"/>
      <c r="G3" s="625"/>
      <c r="H3" s="625"/>
      <c r="I3" s="626"/>
      <c r="J3" s="625"/>
      <c r="K3" s="625"/>
      <c r="L3" s="625"/>
      <c r="M3" s="625"/>
      <c r="N3" s="625"/>
      <c r="O3" s="625"/>
      <c r="P3" s="625"/>
      <c r="Q3" s="625"/>
      <c r="R3" s="627"/>
      <c r="S3" s="33"/>
      <c r="T3" s="33"/>
      <c r="U3" s="108"/>
    </row>
    <row r="4" spans="1:240" ht="24.75" customHeight="1" x14ac:dyDescent="0.2">
      <c r="A4" s="119"/>
      <c r="B4" s="108"/>
      <c r="C4" s="625"/>
      <c r="D4" s="625"/>
      <c r="E4" s="625"/>
      <c r="F4" s="625"/>
      <c r="G4" s="625"/>
      <c r="H4" s="625"/>
      <c r="I4" s="626"/>
      <c r="J4" s="625"/>
      <c r="K4" s="625"/>
      <c r="L4" s="625"/>
      <c r="M4" s="625"/>
      <c r="N4" s="625"/>
      <c r="O4" s="625"/>
      <c r="P4" s="625"/>
      <c r="Q4" s="625"/>
      <c r="R4" s="627"/>
      <c r="S4" s="33"/>
      <c r="T4" s="33"/>
      <c r="U4" s="108"/>
    </row>
    <row r="5" spans="1:240" ht="16.5" customHeight="1" thickBot="1" x14ac:dyDescent="0.3">
      <c r="A5" s="120"/>
      <c r="B5" s="121"/>
      <c r="C5" s="628" t="s">
        <v>847</v>
      </c>
      <c r="D5" s="628"/>
      <c r="E5" s="628"/>
      <c r="F5" s="628"/>
      <c r="G5" s="628"/>
      <c r="H5" s="628"/>
      <c r="I5" s="629"/>
      <c r="J5" s="628"/>
      <c r="K5" s="628"/>
      <c r="L5" s="628"/>
      <c r="M5" s="628"/>
      <c r="N5" s="630"/>
      <c r="O5" s="628"/>
      <c r="P5" s="628"/>
      <c r="Q5" s="628"/>
      <c r="R5" s="631"/>
      <c r="S5" s="122"/>
      <c r="T5" s="122"/>
      <c r="U5" s="121"/>
    </row>
    <row r="6" spans="1:240" ht="103.5" customHeight="1" x14ac:dyDescent="0.25">
      <c r="A6" s="467" t="s">
        <v>749</v>
      </c>
      <c r="B6" s="397" t="s">
        <v>30</v>
      </c>
      <c r="C6" s="397" t="s">
        <v>1</v>
      </c>
      <c r="D6" s="398" t="s">
        <v>2</v>
      </c>
      <c r="E6" s="398" t="s">
        <v>3</v>
      </c>
      <c r="F6" s="398" t="s">
        <v>4</v>
      </c>
      <c r="G6" s="399" t="s">
        <v>5</v>
      </c>
      <c r="H6" s="399" t="s">
        <v>6</v>
      </c>
      <c r="I6" s="399" t="s">
        <v>7</v>
      </c>
      <c r="J6" s="400" t="s">
        <v>273</v>
      </c>
      <c r="K6" s="400" t="s">
        <v>8</v>
      </c>
      <c r="L6" s="401" t="s">
        <v>9</v>
      </c>
      <c r="M6" s="401" t="s">
        <v>10</v>
      </c>
      <c r="N6" s="402" t="s">
        <v>11</v>
      </c>
      <c r="O6" s="401" t="s">
        <v>12</v>
      </c>
      <c r="P6" s="401" t="s">
        <v>13</v>
      </c>
      <c r="Q6" s="403" t="s">
        <v>14</v>
      </c>
      <c r="R6" s="403" t="s">
        <v>15</v>
      </c>
      <c r="S6" s="404" t="s">
        <v>264</v>
      </c>
      <c r="T6" s="404" t="s">
        <v>603</v>
      </c>
      <c r="U6" s="404" t="s">
        <v>265</v>
      </c>
      <c r="V6" s="125" t="s">
        <v>266</v>
      </c>
      <c r="W6" s="125" t="s">
        <v>267</v>
      </c>
      <c r="X6" s="126" t="s">
        <v>268</v>
      </c>
      <c r="Y6" s="13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row>
    <row r="7" spans="1:240" s="4" customFormat="1" ht="174" customHeight="1" x14ac:dyDescent="0.2">
      <c r="A7" s="21">
        <v>1</v>
      </c>
      <c r="B7" s="16" t="s">
        <v>0</v>
      </c>
      <c r="C7" s="22" t="s">
        <v>16</v>
      </c>
      <c r="D7" s="23" t="s">
        <v>211</v>
      </c>
      <c r="E7" s="197" t="s">
        <v>17</v>
      </c>
      <c r="F7" s="24" t="s">
        <v>18</v>
      </c>
      <c r="G7" s="14" t="s">
        <v>217</v>
      </c>
      <c r="H7" s="10" t="s">
        <v>19</v>
      </c>
      <c r="I7" s="26">
        <v>26185877</v>
      </c>
      <c r="J7" s="26"/>
      <c r="K7" s="419">
        <v>42552</v>
      </c>
      <c r="L7" s="420">
        <v>42661</v>
      </c>
      <c r="M7" s="420">
        <v>42668</v>
      </c>
      <c r="N7" s="6">
        <v>365</v>
      </c>
      <c r="O7" s="420">
        <f>M7+N7</f>
        <v>43033</v>
      </c>
      <c r="P7" s="160" t="s">
        <v>20</v>
      </c>
      <c r="Q7" s="25" t="s">
        <v>21</v>
      </c>
      <c r="R7" s="11" t="s">
        <v>22</v>
      </c>
      <c r="S7" s="166" t="s">
        <v>337</v>
      </c>
      <c r="T7" s="127"/>
      <c r="U7" s="386"/>
      <c r="V7" s="127"/>
      <c r="W7" s="127"/>
      <c r="X7" s="127"/>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row>
    <row r="8" spans="1:240" s="4" customFormat="1" ht="199.5" customHeight="1" x14ac:dyDescent="0.2">
      <c r="A8" s="21">
        <f>+A7+1</f>
        <v>2</v>
      </c>
      <c r="B8" s="16" t="s">
        <v>0</v>
      </c>
      <c r="C8" s="172" t="s">
        <v>23</v>
      </c>
      <c r="D8" s="10" t="s">
        <v>24</v>
      </c>
      <c r="E8" s="198" t="s">
        <v>25</v>
      </c>
      <c r="F8" s="14" t="s">
        <v>26</v>
      </c>
      <c r="G8" s="160" t="s">
        <v>27</v>
      </c>
      <c r="H8" s="10" t="s">
        <v>28</v>
      </c>
      <c r="I8" s="169">
        <v>80000000</v>
      </c>
      <c r="J8" s="169"/>
      <c r="K8" s="420">
        <v>42552</v>
      </c>
      <c r="L8" s="420">
        <v>42661</v>
      </c>
      <c r="M8" s="420">
        <v>42566</v>
      </c>
      <c r="N8" s="183">
        <v>240</v>
      </c>
      <c r="O8" s="420">
        <f>M8+N8</f>
        <v>42806</v>
      </c>
      <c r="P8" s="182" t="s">
        <v>621</v>
      </c>
      <c r="Q8" s="10" t="s">
        <v>723</v>
      </c>
      <c r="R8" s="11" t="s">
        <v>29</v>
      </c>
      <c r="S8" s="166" t="s">
        <v>337</v>
      </c>
      <c r="T8" s="127"/>
      <c r="U8" s="386"/>
      <c r="V8" s="127"/>
      <c r="W8" s="127"/>
      <c r="X8" s="127"/>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row>
    <row r="9" spans="1:240" s="4" customFormat="1" ht="231.75" customHeight="1" x14ac:dyDescent="0.2">
      <c r="A9" s="21">
        <f t="shared" ref="A9:A72" si="0">+A8+1</f>
        <v>3</v>
      </c>
      <c r="B9" s="16" t="s">
        <v>90</v>
      </c>
      <c r="C9" s="22">
        <v>31201</v>
      </c>
      <c r="D9" s="23" t="s">
        <v>120</v>
      </c>
      <c r="E9" s="197">
        <v>3120101</v>
      </c>
      <c r="F9" s="24" t="s">
        <v>225</v>
      </c>
      <c r="G9" s="14" t="s">
        <v>586</v>
      </c>
      <c r="H9" s="10" t="s">
        <v>19</v>
      </c>
      <c r="I9" s="26">
        <f>95000000-30000000-I10-I11-I12-I13</f>
        <v>45998622</v>
      </c>
      <c r="J9" s="26"/>
      <c r="K9" s="419">
        <v>42478</v>
      </c>
      <c r="L9" s="420">
        <v>42499</v>
      </c>
      <c r="M9" s="420">
        <f>L9+5</f>
        <v>42504</v>
      </c>
      <c r="N9" s="6">
        <v>240</v>
      </c>
      <c r="O9" s="420">
        <v>42732</v>
      </c>
      <c r="P9" s="160" t="s">
        <v>633</v>
      </c>
      <c r="Q9" s="25" t="s">
        <v>702</v>
      </c>
      <c r="R9" s="11" t="s">
        <v>476</v>
      </c>
      <c r="S9" s="11" t="s">
        <v>330</v>
      </c>
      <c r="T9" s="11" t="s">
        <v>630</v>
      </c>
      <c r="U9" s="11" t="s">
        <v>302</v>
      </c>
      <c r="V9" s="127"/>
      <c r="W9" s="127"/>
      <c r="X9" s="127"/>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row>
    <row r="10" spans="1:240" s="550" customFormat="1" ht="231.75" customHeight="1" x14ac:dyDescent="0.2">
      <c r="A10" s="21">
        <f t="shared" si="0"/>
        <v>4</v>
      </c>
      <c r="B10" s="534" t="s">
        <v>90</v>
      </c>
      <c r="C10" s="535">
        <v>31201</v>
      </c>
      <c r="D10" s="536" t="s">
        <v>120</v>
      </c>
      <c r="E10" s="537">
        <v>3120101</v>
      </c>
      <c r="F10" s="538" t="s">
        <v>225</v>
      </c>
      <c r="G10" s="539" t="s">
        <v>586</v>
      </c>
      <c r="H10" s="481" t="s">
        <v>19</v>
      </c>
      <c r="I10" s="599">
        <v>3754266</v>
      </c>
      <c r="J10" s="599">
        <v>3754266</v>
      </c>
      <c r="K10" s="540">
        <v>42474</v>
      </c>
      <c r="L10" s="526">
        <v>42507</v>
      </c>
      <c r="M10" s="526">
        <v>42514</v>
      </c>
      <c r="N10" s="541">
        <v>240</v>
      </c>
      <c r="O10" s="526">
        <v>42734</v>
      </c>
      <c r="P10" s="542" t="s">
        <v>633</v>
      </c>
      <c r="Q10" s="543" t="s">
        <v>702</v>
      </c>
      <c r="R10" s="544" t="s">
        <v>476</v>
      </c>
      <c r="S10" s="544" t="s">
        <v>330</v>
      </c>
      <c r="T10" s="544" t="s">
        <v>839</v>
      </c>
      <c r="U10" s="544" t="s">
        <v>310</v>
      </c>
      <c r="V10" s="548"/>
      <c r="W10" s="548"/>
      <c r="X10" s="548"/>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49"/>
      <c r="BN10" s="549"/>
      <c r="BO10" s="549"/>
      <c r="BP10" s="549"/>
      <c r="BQ10" s="549"/>
      <c r="BR10" s="549"/>
      <c r="BS10" s="549"/>
      <c r="BT10" s="549"/>
      <c r="BU10" s="549"/>
      <c r="BV10" s="549"/>
      <c r="BW10" s="549"/>
      <c r="BX10" s="549"/>
      <c r="BY10" s="549"/>
      <c r="BZ10" s="549"/>
      <c r="CA10" s="549"/>
      <c r="CB10" s="549"/>
      <c r="CC10" s="549"/>
      <c r="CD10" s="549"/>
      <c r="CE10" s="549"/>
      <c r="CF10" s="549"/>
      <c r="CG10" s="549"/>
      <c r="CH10" s="549"/>
      <c r="CI10" s="549"/>
      <c r="CJ10" s="549"/>
      <c r="CK10" s="549"/>
      <c r="CL10" s="549"/>
      <c r="CM10" s="549"/>
      <c r="CN10" s="549"/>
      <c r="CO10" s="549"/>
      <c r="CP10" s="549"/>
      <c r="CQ10" s="549"/>
      <c r="CR10" s="549"/>
      <c r="CS10" s="549"/>
      <c r="CT10" s="549"/>
      <c r="CU10" s="549"/>
      <c r="CV10" s="549"/>
      <c r="CW10" s="549"/>
      <c r="CX10" s="549"/>
      <c r="CY10" s="549"/>
      <c r="CZ10" s="549"/>
      <c r="DA10" s="549"/>
      <c r="DB10" s="549"/>
      <c r="DC10" s="549"/>
      <c r="DD10" s="549"/>
      <c r="DE10" s="549"/>
      <c r="DF10" s="549"/>
      <c r="DG10" s="549"/>
      <c r="DH10" s="549"/>
      <c r="DI10" s="549"/>
      <c r="DJ10" s="549"/>
      <c r="DK10" s="549"/>
      <c r="DL10" s="549"/>
      <c r="DM10" s="549"/>
      <c r="DN10" s="549"/>
      <c r="DO10" s="549"/>
      <c r="DP10" s="549"/>
      <c r="DQ10" s="549"/>
      <c r="DR10" s="549"/>
      <c r="DS10" s="549"/>
      <c r="DT10" s="549"/>
      <c r="DU10" s="549"/>
      <c r="DV10" s="549"/>
      <c r="DW10" s="549"/>
      <c r="DX10" s="549"/>
      <c r="DY10" s="549"/>
      <c r="DZ10" s="549"/>
      <c r="EA10" s="549"/>
      <c r="EB10" s="549"/>
      <c r="EC10" s="549"/>
      <c r="ED10" s="549"/>
      <c r="EE10" s="549"/>
      <c r="EF10" s="549"/>
      <c r="EG10" s="549"/>
      <c r="EH10" s="549"/>
      <c r="EI10" s="549"/>
      <c r="EJ10" s="549"/>
      <c r="EK10" s="549"/>
      <c r="EL10" s="549"/>
      <c r="EM10" s="549"/>
      <c r="EN10" s="549"/>
      <c r="EO10" s="549"/>
      <c r="EP10" s="549"/>
      <c r="EQ10" s="549"/>
      <c r="ER10" s="549"/>
      <c r="ES10" s="549"/>
      <c r="ET10" s="549"/>
      <c r="EU10" s="549"/>
      <c r="EV10" s="549"/>
      <c r="EW10" s="549"/>
      <c r="EX10" s="549"/>
      <c r="EY10" s="549"/>
      <c r="EZ10" s="549"/>
      <c r="FA10" s="549"/>
      <c r="FB10" s="549"/>
      <c r="FC10" s="549"/>
      <c r="FD10" s="549"/>
      <c r="FE10" s="549"/>
      <c r="FF10" s="549"/>
      <c r="FG10" s="549"/>
      <c r="FH10" s="549"/>
      <c r="FI10" s="549"/>
      <c r="FJ10" s="549"/>
      <c r="FK10" s="549"/>
      <c r="FL10" s="549"/>
      <c r="FM10" s="549"/>
      <c r="FN10" s="549"/>
      <c r="FO10" s="549"/>
      <c r="FP10" s="549"/>
      <c r="FQ10" s="549"/>
      <c r="FR10" s="549"/>
      <c r="FS10" s="549"/>
      <c r="FT10" s="549"/>
      <c r="FU10" s="549"/>
      <c r="FV10" s="549"/>
      <c r="FW10" s="549"/>
      <c r="FX10" s="549"/>
      <c r="FY10" s="549"/>
      <c r="FZ10" s="549"/>
      <c r="GA10" s="549"/>
      <c r="GB10" s="549"/>
      <c r="GC10" s="549"/>
      <c r="GD10" s="549"/>
      <c r="GE10" s="549"/>
      <c r="GF10" s="549"/>
      <c r="GG10" s="549"/>
      <c r="GH10" s="549"/>
      <c r="GI10" s="549"/>
      <c r="GJ10" s="549"/>
      <c r="GK10" s="549"/>
      <c r="GL10" s="549"/>
      <c r="GM10" s="549"/>
      <c r="GN10" s="549"/>
      <c r="GO10" s="549"/>
      <c r="GP10" s="549"/>
      <c r="GQ10" s="549"/>
      <c r="GR10" s="549"/>
      <c r="GS10" s="549"/>
      <c r="GT10" s="549"/>
      <c r="GU10" s="549"/>
      <c r="GV10" s="549"/>
      <c r="GW10" s="549"/>
      <c r="GX10" s="549"/>
      <c r="GY10" s="549"/>
      <c r="GZ10" s="549"/>
      <c r="HA10" s="549"/>
      <c r="HB10" s="549"/>
      <c r="HC10" s="549"/>
      <c r="HD10" s="549"/>
      <c r="HE10" s="549"/>
      <c r="HF10" s="549"/>
      <c r="HG10" s="549"/>
      <c r="HH10" s="549"/>
      <c r="HI10" s="549"/>
      <c r="HJ10" s="549"/>
      <c r="HK10" s="549"/>
      <c r="HL10" s="549"/>
      <c r="HM10" s="549"/>
      <c r="HN10" s="549"/>
      <c r="HO10" s="549"/>
      <c r="HP10" s="549"/>
      <c r="HQ10" s="549"/>
      <c r="HR10" s="549"/>
      <c r="HS10" s="549"/>
      <c r="HT10" s="549"/>
      <c r="HU10" s="549"/>
      <c r="HV10" s="549"/>
      <c r="HW10" s="549"/>
      <c r="HX10" s="549"/>
      <c r="HY10" s="549"/>
      <c r="HZ10" s="549"/>
      <c r="IA10" s="549"/>
      <c r="IB10" s="549"/>
      <c r="IC10" s="549"/>
      <c r="ID10" s="549"/>
      <c r="IE10" s="549"/>
      <c r="IF10" s="549"/>
    </row>
    <row r="11" spans="1:240" s="550" customFormat="1" ht="231.75" customHeight="1" x14ac:dyDescent="0.2">
      <c r="A11" s="21">
        <f t="shared" si="0"/>
        <v>5</v>
      </c>
      <c r="B11" s="534" t="s">
        <v>90</v>
      </c>
      <c r="C11" s="535">
        <v>31201</v>
      </c>
      <c r="D11" s="536" t="s">
        <v>120</v>
      </c>
      <c r="E11" s="537">
        <v>3120101</v>
      </c>
      <c r="F11" s="538" t="s">
        <v>225</v>
      </c>
      <c r="G11" s="539" t="s">
        <v>586</v>
      </c>
      <c r="H11" s="481" t="s">
        <v>19</v>
      </c>
      <c r="I11" s="599">
        <v>5549873</v>
      </c>
      <c r="J11" s="599">
        <v>5549873</v>
      </c>
      <c r="K11" s="540">
        <v>42474</v>
      </c>
      <c r="L11" s="526">
        <v>42507</v>
      </c>
      <c r="M11" s="526">
        <v>42514</v>
      </c>
      <c r="N11" s="541">
        <v>240</v>
      </c>
      <c r="O11" s="526">
        <v>42734</v>
      </c>
      <c r="P11" s="542" t="s">
        <v>633</v>
      </c>
      <c r="Q11" s="543" t="s">
        <v>702</v>
      </c>
      <c r="R11" s="544" t="s">
        <v>476</v>
      </c>
      <c r="S11" s="544" t="s">
        <v>330</v>
      </c>
      <c r="T11" s="544" t="s">
        <v>840</v>
      </c>
      <c r="U11" s="544" t="s">
        <v>310</v>
      </c>
      <c r="V11" s="548"/>
      <c r="W11" s="548"/>
      <c r="X11" s="548"/>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49"/>
      <c r="BN11" s="549"/>
      <c r="BO11" s="549"/>
      <c r="BP11" s="549"/>
      <c r="BQ11" s="549"/>
      <c r="BR11" s="549"/>
      <c r="BS11" s="549"/>
      <c r="BT11" s="549"/>
      <c r="BU11" s="549"/>
      <c r="BV11" s="549"/>
      <c r="BW11" s="549"/>
      <c r="BX11" s="549"/>
      <c r="BY11" s="549"/>
      <c r="BZ11" s="549"/>
      <c r="CA11" s="549"/>
      <c r="CB11" s="549"/>
      <c r="CC11" s="549"/>
      <c r="CD11" s="549"/>
      <c r="CE11" s="549"/>
      <c r="CF11" s="549"/>
      <c r="CG11" s="549"/>
      <c r="CH11" s="549"/>
      <c r="CI11" s="549"/>
      <c r="CJ11" s="549"/>
      <c r="CK11" s="549"/>
      <c r="CL11" s="549"/>
      <c r="CM11" s="549"/>
      <c r="CN11" s="549"/>
      <c r="CO11" s="549"/>
      <c r="CP11" s="549"/>
      <c r="CQ11" s="549"/>
      <c r="CR11" s="549"/>
      <c r="CS11" s="549"/>
      <c r="CT11" s="549"/>
      <c r="CU11" s="549"/>
      <c r="CV11" s="549"/>
      <c r="CW11" s="549"/>
      <c r="CX11" s="549"/>
      <c r="CY11" s="549"/>
      <c r="CZ11" s="549"/>
      <c r="DA11" s="549"/>
      <c r="DB11" s="549"/>
      <c r="DC11" s="549"/>
      <c r="DD11" s="549"/>
      <c r="DE11" s="549"/>
      <c r="DF11" s="549"/>
      <c r="DG11" s="549"/>
      <c r="DH11" s="549"/>
      <c r="DI11" s="549"/>
      <c r="DJ11" s="549"/>
      <c r="DK11" s="549"/>
      <c r="DL11" s="549"/>
      <c r="DM11" s="549"/>
      <c r="DN11" s="549"/>
      <c r="DO11" s="549"/>
      <c r="DP11" s="549"/>
      <c r="DQ11" s="549"/>
      <c r="DR11" s="549"/>
      <c r="DS11" s="549"/>
      <c r="DT11" s="549"/>
      <c r="DU11" s="549"/>
      <c r="DV11" s="549"/>
      <c r="DW11" s="549"/>
      <c r="DX11" s="549"/>
      <c r="DY11" s="549"/>
      <c r="DZ11" s="549"/>
      <c r="EA11" s="549"/>
      <c r="EB11" s="549"/>
      <c r="EC11" s="549"/>
      <c r="ED11" s="549"/>
      <c r="EE11" s="549"/>
      <c r="EF11" s="549"/>
      <c r="EG11" s="549"/>
      <c r="EH11" s="549"/>
      <c r="EI11" s="549"/>
      <c r="EJ11" s="549"/>
      <c r="EK11" s="549"/>
      <c r="EL11" s="549"/>
      <c r="EM11" s="549"/>
      <c r="EN11" s="549"/>
      <c r="EO11" s="549"/>
      <c r="EP11" s="549"/>
      <c r="EQ11" s="549"/>
      <c r="ER11" s="549"/>
      <c r="ES11" s="549"/>
      <c r="ET11" s="549"/>
      <c r="EU11" s="549"/>
      <c r="EV11" s="549"/>
      <c r="EW11" s="549"/>
      <c r="EX11" s="549"/>
      <c r="EY11" s="549"/>
      <c r="EZ11" s="549"/>
      <c r="FA11" s="549"/>
      <c r="FB11" s="549"/>
      <c r="FC11" s="549"/>
      <c r="FD11" s="549"/>
      <c r="FE11" s="549"/>
      <c r="FF11" s="549"/>
      <c r="FG11" s="549"/>
      <c r="FH11" s="549"/>
      <c r="FI11" s="549"/>
      <c r="FJ11" s="549"/>
      <c r="FK11" s="549"/>
      <c r="FL11" s="549"/>
      <c r="FM11" s="549"/>
      <c r="FN11" s="549"/>
      <c r="FO11" s="549"/>
      <c r="FP11" s="549"/>
      <c r="FQ11" s="549"/>
      <c r="FR11" s="549"/>
      <c r="FS11" s="549"/>
      <c r="FT11" s="549"/>
      <c r="FU11" s="549"/>
      <c r="FV11" s="549"/>
      <c r="FW11" s="549"/>
      <c r="FX11" s="549"/>
      <c r="FY11" s="549"/>
      <c r="FZ11" s="549"/>
      <c r="GA11" s="549"/>
      <c r="GB11" s="549"/>
      <c r="GC11" s="549"/>
      <c r="GD11" s="549"/>
      <c r="GE11" s="549"/>
      <c r="GF11" s="549"/>
      <c r="GG11" s="549"/>
      <c r="GH11" s="549"/>
      <c r="GI11" s="549"/>
      <c r="GJ11" s="549"/>
      <c r="GK11" s="549"/>
      <c r="GL11" s="549"/>
      <c r="GM11" s="549"/>
      <c r="GN11" s="549"/>
      <c r="GO11" s="549"/>
      <c r="GP11" s="549"/>
      <c r="GQ11" s="549"/>
      <c r="GR11" s="549"/>
      <c r="GS11" s="549"/>
      <c r="GT11" s="549"/>
      <c r="GU11" s="549"/>
      <c r="GV11" s="549"/>
      <c r="GW11" s="549"/>
      <c r="GX11" s="549"/>
      <c r="GY11" s="549"/>
      <c r="GZ11" s="549"/>
      <c r="HA11" s="549"/>
      <c r="HB11" s="549"/>
      <c r="HC11" s="549"/>
      <c r="HD11" s="549"/>
      <c r="HE11" s="549"/>
      <c r="HF11" s="549"/>
      <c r="HG11" s="549"/>
      <c r="HH11" s="549"/>
      <c r="HI11" s="549"/>
      <c r="HJ11" s="549"/>
      <c r="HK11" s="549"/>
      <c r="HL11" s="549"/>
      <c r="HM11" s="549"/>
      <c r="HN11" s="549"/>
      <c r="HO11" s="549"/>
      <c r="HP11" s="549"/>
      <c r="HQ11" s="549"/>
      <c r="HR11" s="549"/>
      <c r="HS11" s="549"/>
      <c r="HT11" s="549"/>
      <c r="HU11" s="549"/>
      <c r="HV11" s="549"/>
      <c r="HW11" s="549"/>
      <c r="HX11" s="549"/>
      <c r="HY11" s="549"/>
      <c r="HZ11" s="549"/>
      <c r="IA11" s="549"/>
      <c r="IB11" s="549"/>
      <c r="IC11" s="549"/>
      <c r="ID11" s="549"/>
      <c r="IE11" s="549"/>
      <c r="IF11" s="549"/>
    </row>
    <row r="12" spans="1:240" s="550" customFormat="1" ht="171" customHeight="1" x14ac:dyDescent="0.2">
      <c r="A12" s="21">
        <f t="shared" si="0"/>
        <v>6</v>
      </c>
      <c r="B12" s="534" t="s">
        <v>90</v>
      </c>
      <c r="C12" s="535">
        <v>31201</v>
      </c>
      <c r="D12" s="536" t="s">
        <v>120</v>
      </c>
      <c r="E12" s="537">
        <v>3120101</v>
      </c>
      <c r="F12" s="538" t="s">
        <v>225</v>
      </c>
      <c r="G12" s="539" t="s">
        <v>586</v>
      </c>
      <c r="H12" s="481" t="s">
        <v>19</v>
      </c>
      <c r="I12" s="599">
        <v>6695276</v>
      </c>
      <c r="J12" s="599">
        <v>6695276</v>
      </c>
      <c r="K12" s="540">
        <v>42474</v>
      </c>
      <c r="L12" s="526">
        <v>42507</v>
      </c>
      <c r="M12" s="526">
        <v>42514</v>
      </c>
      <c r="N12" s="541">
        <v>240</v>
      </c>
      <c r="O12" s="526">
        <v>42734</v>
      </c>
      <c r="P12" s="542" t="s">
        <v>633</v>
      </c>
      <c r="Q12" s="543" t="s">
        <v>702</v>
      </c>
      <c r="R12" s="544" t="s">
        <v>476</v>
      </c>
      <c r="S12" s="544" t="s">
        <v>330</v>
      </c>
      <c r="T12" s="544" t="s">
        <v>841</v>
      </c>
      <c r="U12" s="544" t="s">
        <v>310</v>
      </c>
      <c r="V12" s="548"/>
      <c r="W12" s="548"/>
      <c r="X12" s="548"/>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49"/>
      <c r="AY12" s="549"/>
      <c r="AZ12" s="549"/>
      <c r="BA12" s="549"/>
      <c r="BB12" s="549"/>
      <c r="BC12" s="549"/>
      <c r="BD12" s="549"/>
      <c r="BE12" s="549"/>
      <c r="BF12" s="549"/>
      <c r="BG12" s="549"/>
      <c r="BH12" s="549"/>
      <c r="BI12" s="549"/>
      <c r="BJ12" s="549"/>
      <c r="BK12" s="549"/>
      <c r="BL12" s="549"/>
      <c r="BM12" s="549"/>
      <c r="BN12" s="549"/>
      <c r="BO12" s="549"/>
      <c r="BP12" s="549"/>
      <c r="BQ12" s="549"/>
      <c r="BR12" s="549"/>
      <c r="BS12" s="549"/>
      <c r="BT12" s="549"/>
      <c r="BU12" s="549"/>
      <c r="BV12" s="549"/>
      <c r="BW12" s="549"/>
      <c r="BX12" s="549"/>
      <c r="BY12" s="549"/>
      <c r="BZ12" s="549"/>
      <c r="CA12" s="549"/>
      <c r="CB12" s="549"/>
      <c r="CC12" s="549"/>
      <c r="CD12" s="549"/>
      <c r="CE12" s="549"/>
      <c r="CF12" s="549"/>
      <c r="CG12" s="549"/>
      <c r="CH12" s="549"/>
      <c r="CI12" s="549"/>
      <c r="CJ12" s="549"/>
      <c r="CK12" s="549"/>
      <c r="CL12" s="549"/>
      <c r="CM12" s="549"/>
      <c r="CN12" s="549"/>
      <c r="CO12" s="549"/>
      <c r="CP12" s="549"/>
      <c r="CQ12" s="549"/>
      <c r="CR12" s="549"/>
      <c r="CS12" s="549"/>
      <c r="CT12" s="549"/>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549"/>
      <c r="DQ12" s="549"/>
      <c r="DR12" s="549"/>
      <c r="DS12" s="549"/>
      <c r="DT12" s="549"/>
      <c r="DU12" s="549"/>
      <c r="DV12" s="549"/>
      <c r="DW12" s="549"/>
      <c r="DX12" s="549"/>
      <c r="DY12" s="549"/>
      <c r="DZ12" s="549"/>
      <c r="EA12" s="549"/>
      <c r="EB12" s="549"/>
      <c r="EC12" s="549"/>
      <c r="ED12" s="549"/>
      <c r="EE12" s="549"/>
      <c r="EF12" s="549"/>
      <c r="EG12" s="549"/>
      <c r="EH12" s="549"/>
      <c r="EI12" s="549"/>
      <c r="EJ12" s="549"/>
      <c r="EK12" s="549"/>
      <c r="EL12" s="549"/>
      <c r="EM12" s="549"/>
      <c r="EN12" s="549"/>
      <c r="EO12" s="549"/>
      <c r="EP12" s="549"/>
      <c r="EQ12" s="549"/>
      <c r="ER12" s="549"/>
      <c r="ES12" s="549"/>
      <c r="ET12" s="549"/>
      <c r="EU12" s="549"/>
      <c r="EV12" s="549"/>
      <c r="EW12" s="549"/>
      <c r="EX12" s="549"/>
      <c r="EY12" s="549"/>
      <c r="EZ12" s="549"/>
      <c r="FA12" s="549"/>
      <c r="FB12" s="549"/>
      <c r="FC12" s="549"/>
      <c r="FD12" s="549"/>
      <c r="FE12" s="549"/>
      <c r="FF12" s="549"/>
      <c r="FG12" s="549"/>
      <c r="FH12" s="549"/>
      <c r="FI12" s="549"/>
      <c r="FJ12" s="549"/>
      <c r="FK12" s="549"/>
      <c r="FL12" s="549"/>
      <c r="FM12" s="549"/>
      <c r="FN12" s="549"/>
      <c r="FO12" s="549"/>
      <c r="FP12" s="549"/>
      <c r="FQ12" s="549"/>
      <c r="FR12" s="549"/>
      <c r="FS12" s="549"/>
      <c r="FT12" s="549"/>
      <c r="FU12" s="549"/>
      <c r="FV12" s="549"/>
      <c r="FW12" s="549"/>
      <c r="FX12" s="549"/>
      <c r="FY12" s="549"/>
      <c r="FZ12" s="549"/>
      <c r="GA12" s="549"/>
      <c r="GB12" s="549"/>
      <c r="GC12" s="549"/>
      <c r="GD12" s="549"/>
      <c r="GE12" s="549"/>
      <c r="GF12" s="549"/>
      <c r="GG12" s="549"/>
      <c r="GH12" s="549"/>
      <c r="GI12" s="549"/>
      <c r="GJ12" s="549"/>
      <c r="GK12" s="549"/>
      <c r="GL12" s="549"/>
      <c r="GM12" s="549"/>
      <c r="GN12" s="549"/>
      <c r="GO12" s="549"/>
      <c r="GP12" s="549"/>
      <c r="GQ12" s="549"/>
      <c r="GR12" s="549"/>
      <c r="GS12" s="549"/>
      <c r="GT12" s="549"/>
      <c r="GU12" s="549"/>
      <c r="GV12" s="549"/>
      <c r="GW12" s="549"/>
      <c r="GX12" s="549"/>
      <c r="GY12" s="549"/>
      <c r="GZ12" s="549"/>
      <c r="HA12" s="549"/>
      <c r="HB12" s="549"/>
      <c r="HC12" s="549"/>
      <c r="HD12" s="549"/>
      <c r="HE12" s="549"/>
      <c r="HF12" s="549"/>
      <c r="HG12" s="549"/>
      <c r="HH12" s="549"/>
      <c r="HI12" s="549"/>
      <c r="HJ12" s="549"/>
      <c r="HK12" s="549"/>
      <c r="HL12" s="549"/>
      <c r="HM12" s="549"/>
      <c r="HN12" s="549"/>
      <c r="HO12" s="549"/>
      <c r="HP12" s="549"/>
      <c r="HQ12" s="549"/>
      <c r="HR12" s="549"/>
      <c r="HS12" s="549"/>
      <c r="HT12" s="549"/>
      <c r="HU12" s="549"/>
      <c r="HV12" s="549"/>
      <c r="HW12" s="549"/>
      <c r="HX12" s="549"/>
      <c r="HY12" s="549"/>
      <c r="HZ12" s="549"/>
      <c r="IA12" s="549"/>
      <c r="IB12" s="549"/>
      <c r="IC12" s="549"/>
      <c r="ID12" s="549"/>
      <c r="IE12" s="549"/>
      <c r="IF12" s="549"/>
    </row>
    <row r="13" spans="1:240" s="550" customFormat="1" ht="171" customHeight="1" x14ac:dyDescent="0.2">
      <c r="A13" s="21">
        <f t="shared" si="0"/>
        <v>7</v>
      </c>
      <c r="B13" s="534" t="s">
        <v>90</v>
      </c>
      <c r="C13" s="535">
        <v>31201</v>
      </c>
      <c r="D13" s="536" t="s">
        <v>120</v>
      </c>
      <c r="E13" s="537">
        <v>3120101</v>
      </c>
      <c r="F13" s="538" t="s">
        <v>225</v>
      </c>
      <c r="G13" s="539" t="s">
        <v>586</v>
      </c>
      <c r="H13" s="481" t="s">
        <v>19</v>
      </c>
      <c r="I13" s="599">
        <v>3001963</v>
      </c>
      <c r="J13" s="599">
        <v>3001963</v>
      </c>
      <c r="K13" s="540">
        <v>42474</v>
      </c>
      <c r="L13" s="526">
        <v>42507</v>
      </c>
      <c r="M13" s="526">
        <v>42514</v>
      </c>
      <c r="N13" s="541">
        <v>240</v>
      </c>
      <c r="O13" s="526">
        <v>42734</v>
      </c>
      <c r="P13" s="542" t="s">
        <v>633</v>
      </c>
      <c r="Q13" s="543" t="s">
        <v>702</v>
      </c>
      <c r="R13" s="544" t="s">
        <v>476</v>
      </c>
      <c r="S13" s="544" t="s">
        <v>330</v>
      </c>
      <c r="T13" s="544" t="s">
        <v>842</v>
      </c>
      <c r="U13" s="544" t="s">
        <v>310</v>
      </c>
      <c r="V13" s="548"/>
      <c r="W13" s="548"/>
      <c r="X13" s="548"/>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549"/>
      <c r="AW13" s="549"/>
      <c r="AX13" s="549"/>
      <c r="AY13" s="549"/>
      <c r="AZ13" s="549"/>
      <c r="BA13" s="549"/>
      <c r="BB13" s="549"/>
      <c r="BC13" s="549"/>
      <c r="BD13" s="549"/>
      <c r="BE13" s="549"/>
      <c r="BF13" s="549"/>
      <c r="BG13" s="549"/>
      <c r="BH13" s="549"/>
      <c r="BI13" s="549"/>
      <c r="BJ13" s="549"/>
      <c r="BK13" s="549"/>
      <c r="BL13" s="549"/>
      <c r="BM13" s="549"/>
      <c r="BN13" s="549"/>
      <c r="BO13" s="549"/>
      <c r="BP13" s="549"/>
      <c r="BQ13" s="549"/>
      <c r="BR13" s="549"/>
      <c r="BS13" s="549"/>
      <c r="BT13" s="549"/>
      <c r="BU13" s="549"/>
      <c r="BV13" s="549"/>
      <c r="BW13" s="549"/>
      <c r="BX13" s="549"/>
      <c r="BY13" s="549"/>
      <c r="BZ13" s="549"/>
      <c r="CA13" s="549"/>
      <c r="CB13" s="549"/>
      <c r="CC13" s="549"/>
      <c r="CD13" s="549"/>
      <c r="CE13" s="549"/>
      <c r="CF13" s="549"/>
      <c r="CG13" s="549"/>
      <c r="CH13" s="549"/>
      <c r="CI13" s="549"/>
      <c r="CJ13" s="549"/>
      <c r="CK13" s="549"/>
      <c r="CL13" s="549"/>
      <c r="CM13" s="549"/>
      <c r="CN13" s="549"/>
      <c r="CO13" s="549"/>
      <c r="CP13" s="549"/>
      <c r="CQ13" s="549"/>
      <c r="CR13" s="549"/>
      <c r="CS13" s="549"/>
      <c r="CT13" s="549"/>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549"/>
      <c r="DQ13" s="549"/>
      <c r="DR13" s="549"/>
      <c r="DS13" s="549"/>
      <c r="DT13" s="549"/>
      <c r="DU13" s="549"/>
      <c r="DV13" s="549"/>
      <c r="DW13" s="549"/>
      <c r="DX13" s="549"/>
      <c r="DY13" s="549"/>
      <c r="DZ13" s="549"/>
      <c r="EA13" s="549"/>
      <c r="EB13" s="549"/>
      <c r="EC13" s="549"/>
      <c r="ED13" s="549"/>
      <c r="EE13" s="549"/>
      <c r="EF13" s="549"/>
      <c r="EG13" s="549"/>
      <c r="EH13" s="549"/>
      <c r="EI13" s="549"/>
      <c r="EJ13" s="549"/>
      <c r="EK13" s="549"/>
      <c r="EL13" s="549"/>
      <c r="EM13" s="549"/>
      <c r="EN13" s="549"/>
      <c r="EO13" s="549"/>
      <c r="EP13" s="549"/>
      <c r="EQ13" s="549"/>
      <c r="ER13" s="549"/>
      <c r="ES13" s="549"/>
      <c r="ET13" s="549"/>
      <c r="EU13" s="549"/>
      <c r="EV13" s="549"/>
      <c r="EW13" s="549"/>
      <c r="EX13" s="549"/>
      <c r="EY13" s="549"/>
      <c r="EZ13" s="549"/>
      <c r="FA13" s="549"/>
      <c r="FB13" s="549"/>
      <c r="FC13" s="549"/>
      <c r="FD13" s="549"/>
      <c r="FE13" s="549"/>
      <c r="FF13" s="549"/>
      <c r="FG13" s="549"/>
      <c r="FH13" s="549"/>
      <c r="FI13" s="549"/>
      <c r="FJ13" s="549"/>
      <c r="FK13" s="549"/>
      <c r="FL13" s="549"/>
      <c r="FM13" s="549"/>
      <c r="FN13" s="549"/>
      <c r="FO13" s="549"/>
      <c r="FP13" s="549"/>
      <c r="FQ13" s="549"/>
      <c r="FR13" s="549"/>
      <c r="FS13" s="549"/>
      <c r="FT13" s="549"/>
      <c r="FU13" s="549"/>
      <c r="FV13" s="549"/>
      <c r="FW13" s="549"/>
      <c r="FX13" s="549"/>
      <c r="FY13" s="549"/>
      <c r="FZ13" s="549"/>
      <c r="GA13" s="549"/>
      <c r="GB13" s="549"/>
      <c r="GC13" s="549"/>
      <c r="GD13" s="549"/>
      <c r="GE13" s="549"/>
      <c r="GF13" s="549"/>
      <c r="GG13" s="549"/>
      <c r="GH13" s="549"/>
      <c r="GI13" s="549"/>
      <c r="GJ13" s="549"/>
      <c r="GK13" s="549"/>
      <c r="GL13" s="549"/>
      <c r="GM13" s="549"/>
      <c r="GN13" s="549"/>
      <c r="GO13" s="549"/>
      <c r="GP13" s="549"/>
      <c r="GQ13" s="549"/>
      <c r="GR13" s="549"/>
      <c r="GS13" s="549"/>
      <c r="GT13" s="549"/>
      <c r="GU13" s="549"/>
      <c r="GV13" s="549"/>
      <c r="GW13" s="549"/>
      <c r="GX13" s="549"/>
      <c r="GY13" s="549"/>
      <c r="GZ13" s="549"/>
      <c r="HA13" s="549"/>
      <c r="HB13" s="549"/>
      <c r="HC13" s="549"/>
      <c r="HD13" s="549"/>
      <c r="HE13" s="549"/>
      <c r="HF13" s="549"/>
      <c r="HG13" s="549"/>
      <c r="HH13" s="549"/>
      <c r="HI13" s="549"/>
      <c r="HJ13" s="549"/>
      <c r="HK13" s="549"/>
      <c r="HL13" s="549"/>
      <c r="HM13" s="549"/>
      <c r="HN13" s="549"/>
      <c r="HO13" s="549"/>
      <c r="HP13" s="549"/>
      <c r="HQ13" s="549"/>
      <c r="HR13" s="549"/>
      <c r="HS13" s="549"/>
      <c r="HT13" s="549"/>
      <c r="HU13" s="549"/>
      <c r="HV13" s="549"/>
      <c r="HW13" s="549"/>
      <c r="HX13" s="549"/>
      <c r="HY13" s="549"/>
      <c r="HZ13" s="549"/>
      <c r="IA13" s="549"/>
      <c r="IB13" s="549"/>
      <c r="IC13" s="549"/>
      <c r="ID13" s="549"/>
      <c r="IE13" s="549"/>
      <c r="IF13" s="549"/>
    </row>
    <row r="14" spans="1:240" s="4" customFormat="1" ht="165.75" x14ac:dyDescent="0.2">
      <c r="A14" s="21">
        <f t="shared" si="0"/>
        <v>8</v>
      </c>
      <c r="B14" s="16" t="s">
        <v>90</v>
      </c>
      <c r="C14" s="22">
        <v>31201</v>
      </c>
      <c r="D14" s="23" t="s">
        <v>120</v>
      </c>
      <c r="E14" s="197">
        <v>3120101</v>
      </c>
      <c r="F14" s="24" t="s">
        <v>225</v>
      </c>
      <c r="G14" s="14" t="s">
        <v>77</v>
      </c>
      <c r="H14" s="10" t="s">
        <v>19</v>
      </c>
      <c r="I14" s="26">
        <v>30000000</v>
      </c>
      <c r="J14" s="26"/>
      <c r="K14" s="419">
        <v>42478</v>
      </c>
      <c r="L14" s="420">
        <v>42517</v>
      </c>
      <c r="M14" s="420">
        <f>L14+5</f>
        <v>42522</v>
      </c>
      <c r="N14" s="6">
        <v>240</v>
      </c>
      <c r="O14" s="420">
        <f t="shared" ref="O14:O20" si="1">M14+N14</f>
        <v>42762</v>
      </c>
      <c r="P14" s="160" t="s">
        <v>632</v>
      </c>
      <c r="Q14" s="25" t="s">
        <v>740</v>
      </c>
      <c r="R14" s="11" t="s">
        <v>476</v>
      </c>
      <c r="S14" s="11" t="s">
        <v>330</v>
      </c>
      <c r="T14" s="11" t="s">
        <v>631</v>
      </c>
      <c r="U14" s="11" t="s">
        <v>302</v>
      </c>
      <c r="V14" s="127"/>
      <c r="W14" s="127"/>
      <c r="X14" s="127"/>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5" spans="1:240" s="4" customFormat="1" ht="111.75" customHeight="1" x14ac:dyDescent="0.2">
      <c r="A15" s="21">
        <f t="shared" si="0"/>
        <v>9</v>
      </c>
      <c r="B15" s="16" t="s">
        <v>90</v>
      </c>
      <c r="C15" s="22" t="s">
        <v>16</v>
      </c>
      <c r="D15" s="23" t="s">
        <v>211</v>
      </c>
      <c r="E15" s="197">
        <v>3120210</v>
      </c>
      <c r="F15" s="24" t="s">
        <v>31</v>
      </c>
      <c r="G15" s="14" t="s">
        <v>619</v>
      </c>
      <c r="H15" s="10" t="s">
        <v>33</v>
      </c>
      <c r="I15" s="517">
        <f>43000000-I16</f>
        <v>25987000</v>
      </c>
      <c r="J15" s="26"/>
      <c r="K15" s="419">
        <v>42489</v>
      </c>
      <c r="L15" s="420">
        <v>42536</v>
      </c>
      <c r="M15" s="420">
        <v>42564</v>
      </c>
      <c r="N15" s="6">
        <v>60</v>
      </c>
      <c r="O15" s="420">
        <f t="shared" si="1"/>
        <v>42624</v>
      </c>
      <c r="P15" s="160" t="s">
        <v>34</v>
      </c>
      <c r="Q15" s="25" t="s">
        <v>577</v>
      </c>
      <c r="R15" s="11" t="s">
        <v>35</v>
      </c>
      <c r="S15" s="11" t="s">
        <v>330</v>
      </c>
      <c r="T15" s="11"/>
      <c r="U15" s="11"/>
      <c r="V15" s="127"/>
      <c r="W15" s="127"/>
      <c r="X15" s="127"/>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6" spans="1:240" s="4" customFormat="1" ht="111.75" customHeight="1" x14ac:dyDescent="0.2">
      <c r="A16" s="21">
        <f t="shared" si="0"/>
        <v>10</v>
      </c>
      <c r="B16" s="16" t="s">
        <v>90</v>
      </c>
      <c r="C16" s="22" t="s">
        <v>16</v>
      </c>
      <c r="D16" s="23" t="s">
        <v>211</v>
      </c>
      <c r="E16" s="197">
        <v>3120210</v>
      </c>
      <c r="F16" s="24" t="s">
        <v>31</v>
      </c>
      <c r="G16" s="14" t="s">
        <v>619</v>
      </c>
      <c r="H16" s="10" t="s">
        <v>33</v>
      </c>
      <c r="I16" s="517">
        <v>17013000</v>
      </c>
      <c r="J16" s="26">
        <v>17013000</v>
      </c>
      <c r="K16" s="419">
        <v>42459</v>
      </c>
      <c r="L16" s="420">
        <v>42496</v>
      </c>
      <c r="M16" s="420">
        <f>L16+5</f>
        <v>42501</v>
      </c>
      <c r="N16" s="6">
        <v>90</v>
      </c>
      <c r="O16" s="420">
        <f t="shared" ref="O16" si="2">M16+N16</f>
        <v>42591</v>
      </c>
      <c r="P16" s="160" t="s">
        <v>34</v>
      </c>
      <c r="Q16" s="25" t="s">
        <v>577</v>
      </c>
      <c r="R16" s="11" t="s">
        <v>35</v>
      </c>
      <c r="S16" s="11" t="s">
        <v>330</v>
      </c>
      <c r="T16" s="11" t="s">
        <v>727</v>
      </c>
      <c r="U16" s="11" t="s">
        <v>310</v>
      </c>
      <c r="V16" s="127"/>
      <c r="W16" s="127"/>
      <c r="X16" s="127"/>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row>
    <row r="17" spans="1:240" s="4" customFormat="1" ht="136.5" customHeight="1" x14ac:dyDescent="0.2">
      <c r="A17" s="21">
        <f t="shared" si="0"/>
        <v>11</v>
      </c>
      <c r="B17" s="16" t="s">
        <v>90</v>
      </c>
      <c r="C17" s="22" t="s">
        <v>16</v>
      </c>
      <c r="D17" s="23" t="s">
        <v>211</v>
      </c>
      <c r="E17" s="197">
        <v>3120210</v>
      </c>
      <c r="F17" s="24" t="s">
        <v>31</v>
      </c>
      <c r="G17" s="14" t="s">
        <v>32</v>
      </c>
      <c r="H17" s="10" t="s">
        <v>33</v>
      </c>
      <c r="I17" s="26">
        <v>25000000</v>
      </c>
      <c r="J17" s="26"/>
      <c r="K17" s="419">
        <v>42513</v>
      </c>
      <c r="L17" s="420">
        <v>42574</v>
      </c>
      <c r="M17" s="420">
        <v>42579</v>
      </c>
      <c r="N17" s="6">
        <v>60</v>
      </c>
      <c r="O17" s="420">
        <f>+M17+N17</f>
        <v>42639</v>
      </c>
      <c r="P17" s="160" t="s">
        <v>36</v>
      </c>
      <c r="Q17" s="25" t="s">
        <v>274</v>
      </c>
      <c r="R17" s="11" t="s">
        <v>37</v>
      </c>
      <c r="S17" s="11" t="s">
        <v>330</v>
      </c>
      <c r="T17" s="11" t="s">
        <v>788</v>
      </c>
      <c r="U17" s="11" t="s">
        <v>302</v>
      </c>
      <c r="V17" s="127"/>
      <c r="W17" s="127"/>
      <c r="X17" s="127"/>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row>
    <row r="18" spans="1:240" s="4" customFormat="1" ht="124.5" customHeight="1" x14ac:dyDescent="0.2">
      <c r="A18" s="21">
        <f t="shared" si="0"/>
        <v>12</v>
      </c>
      <c r="B18" s="16" t="s">
        <v>90</v>
      </c>
      <c r="C18" s="22" t="s">
        <v>16</v>
      </c>
      <c r="D18" s="23" t="s">
        <v>211</v>
      </c>
      <c r="E18" s="197">
        <v>3120210</v>
      </c>
      <c r="F18" s="24" t="s">
        <v>31</v>
      </c>
      <c r="G18" s="14" t="s">
        <v>81</v>
      </c>
      <c r="H18" s="10" t="s">
        <v>33</v>
      </c>
      <c r="I18" s="26">
        <v>31000000</v>
      </c>
      <c r="J18" s="26"/>
      <c r="K18" s="419">
        <v>42522</v>
      </c>
      <c r="L18" s="420">
        <f>K18+30</f>
        <v>42552</v>
      </c>
      <c r="M18" s="420">
        <f>L18+5</f>
        <v>42557</v>
      </c>
      <c r="N18" s="6">
        <v>180</v>
      </c>
      <c r="O18" s="420">
        <f t="shared" si="1"/>
        <v>42737</v>
      </c>
      <c r="P18" s="160" t="s">
        <v>38</v>
      </c>
      <c r="Q18" s="25" t="s">
        <v>39</v>
      </c>
      <c r="R18" s="11" t="s">
        <v>40</v>
      </c>
      <c r="S18" s="166" t="s">
        <v>330</v>
      </c>
      <c r="T18" s="127"/>
      <c r="U18" s="386"/>
      <c r="V18" s="127"/>
      <c r="W18" s="127"/>
      <c r="X18" s="127"/>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row>
    <row r="19" spans="1:240" s="4" customFormat="1" ht="100.5" customHeight="1" x14ac:dyDescent="0.2">
      <c r="A19" s="21">
        <f t="shared" si="0"/>
        <v>13</v>
      </c>
      <c r="B19" s="16" t="s">
        <v>90</v>
      </c>
      <c r="C19" s="22" t="s">
        <v>16</v>
      </c>
      <c r="D19" s="23" t="s">
        <v>211</v>
      </c>
      <c r="E19" s="197">
        <v>3120210</v>
      </c>
      <c r="F19" s="24" t="s">
        <v>31</v>
      </c>
      <c r="G19" s="14" t="s">
        <v>81</v>
      </c>
      <c r="H19" s="10" t="s">
        <v>33</v>
      </c>
      <c r="I19" s="26">
        <v>7000000</v>
      </c>
      <c r="J19" s="26"/>
      <c r="K19" s="419">
        <v>42522</v>
      </c>
      <c r="L19" s="420">
        <f>K19+30</f>
        <v>42552</v>
      </c>
      <c r="M19" s="420">
        <f>L19+5</f>
        <v>42557</v>
      </c>
      <c r="N19" s="6">
        <v>150</v>
      </c>
      <c r="O19" s="420">
        <f t="shared" si="1"/>
        <v>42707</v>
      </c>
      <c r="P19" s="160" t="s">
        <v>41</v>
      </c>
      <c r="Q19" s="25" t="s">
        <v>42</v>
      </c>
      <c r="R19" s="11" t="s">
        <v>43</v>
      </c>
      <c r="S19" s="166" t="s">
        <v>330</v>
      </c>
      <c r="T19" s="127"/>
      <c r="U19" s="386"/>
      <c r="V19" s="127"/>
      <c r="W19" s="127"/>
      <c r="X19" s="127"/>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row>
    <row r="20" spans="1:240" s="4" customFormat="1" ht="105.75" customHeight="1" x14ac:dyDescent="0.2">
      <c r="A20" s="21">
        <f t="shared" si="0"/>
        <v>14</v>
      </c>
      <c r="B20" s="16" t="s">
        <v>90</v>
      </c>
      <c r="C20" s="22" t="s">
        <v>16</v>
      </c>
      <c r="D20" s="23" t="s">
        <v>211</v>
      </c>
      <c r="E20" s="197">
        <v>3120210</v>
      </c>
      <c r="F20" s="24" t="s">
        <v>31</v>
      </c>
      <c r="G20" s="14" t="s">
        <v>81</v>
      </c>
      <c r="H20" s="10" t="s">
        <v>33</v>
      </c>
      <c r="I20" s="26">
        <v>7000000</v>
      </c>
      <c r="J20" s="26"/>
      <c r="K20" s="419">
        <v>42522</v>
      </c>
      <c r="L20" s="420">
        <f>K20+30</f>
        <v>42552</v>
      </c>
      <c r="M20" s="420">
        <f>L20+5</f>
        <v>42557</v>
      </c>
      <c r="N20" s="6">
        <v>150</v>
      </c>
      <c r="O20" s="420">
        <f t="shared" si="1"/>
        <v>42707</v>
      </c>
      <c r="P20" s="160" t="s">
        <v>44</v>
      </c>
      <c r="Q20" s="25" t="s">
        <v>45</v>
      </c>
      <c r="R20" s="11" t="s">
        <v>614</v>
      </c>
      <c r="S20" s="166" t="s">
        <v>330</v>
      </c>
      <c r="T20" s="127"/>
      <c r="U20" s="386"/>
      <c r="V20" s="127"/>
      <c r="W20" s="127"/>
      <c r="X20" s="127"/>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row>
    <row r="21" spans="1:240" s="4" customFormat="1" ht="57" customHeight="1" x14ac:dyDescent="0.2">
      <c r="A21" s="21">
        <f t="shared" si="0"/>
        <v>15</v>
      </c>
      <c r="B21" s="16" t="s">
        <v>90</v>
      </c>
      <c r="C21" s="22" t="s">
        <v>16</v>
      </c>
      <c r="D21" s="23" t="s">
        <v>211</v>
      </c>
      <c r="E21" s="197">
        <v>3120210</v>
      </c>
      <c r="F21" s="24" t="s">
        <v>31</v>
      </c>
      <c r="G21" s="14" t="s">
        <v>32</v>
      </c>
      <c r="H21" s="10" t="s">
        <v>33</v>
      </c>
      <c r="I21" s="26">
        <v>50000000</v>
      </c>
      <c r="J21" s="26"/>
      <c r="K21" s="419">
        <v>42566</v>
      </c>
      <c r="L21" s="420">
        <v>42618</v>
      </c>
      <c r="M21" s="420">
        <f>+L21+5</f>
        <v>42623</v>
      </c>
      <c r="N21" s="6">
        <v>8</v>
      </c>
      <c r="O21" s="420">
        <f>+M21+N21</f>
        <v>42631</v>
      </c>
      <c r="P21" s="160" t="s">
        <v>46</v>
      </c>
      <c r="Q21" s="25" t="s">
        <v>47</v>
      </c>
      <c r="R21" s="11" t="s">
        <v>48</v>
      </c>
      <c r="S21" s="166" t="s">
        <v>330</v>
      </c>
      <c r="T21" s="127"/>
      <c r="U21" s="386"/>
      <c r="V21" s="127"/>
      <c r="W21" s="127"/>
      <c r="X21" s="127"/>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row>
    <row r="22" spans="1:240" s="4" customFormat="1" ht="89.25" customHeight="1" x14ac:dyDescent="0.2">
      <c r="A22" s="21">
        <f t="shared" si="0"/>
        <v>16</v>
      </c>
      <c r="B22" s="16" t="s">
        <v>90</v>
      </c>
      <c r="C22" s="22" t="s">
        <v>16</v>
      </c>
      <c r="D22" s="23" t="s">
        <v>211</v>
      </c>
      <c r="E22" s="197">
        <v>3120210</v>
      </c>
      <c r="F22" s="24" t="s">
        <v>31</v>
      </c>
      <c r="G22" s="14" t="s">
        <v>32</v>
      </c>
      <c r="H22" s="10" t="s">
        <v>33</v>
      </c>
      <c r="I22" s="26">
        <v>22000000</v>
      </c>
      <c r="J22" s="26"/>
      <c r="K22" s="419">
        <v>42461</v>
      </c>
      <c r="L22" s="420">
        <v>42522</v>
      </c>
      <c r="M22" s="420">
        <v>42527</v>
      </c>
      <c r="N22" s="6">
        <v>120</v>
      </c>
      <c r="O22" s="420">
        <f>+M22+N22</f>
        <v>42647</v>
      </c>
      <c r="P22" s="160" t="s">
        <v>49</v>
      </c>
      <c r="Q22" s="25" t="s">
        <v>575</v>
      </c>
      <c r="R22" s="11" t="s">
        <v>50</v>
      </c>
      <c r="S22" s="166" t="s">
        <v>330</v>
      </c>
      <c r="T22" s="166" t="s">
        <v>576</v>
      </c>
      <c r="U22" s="179" t="s">
        <v>302</v>
      </c>
      <c r="V22" s="127"/>
      <c r="W22" s="127"/>
      <c r="X22" s="127"/>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row>
    <row r="23" spans="1:240" s="4" customFormat="1" ht="118.5" customHeight="1" x14ac:dyDescent="0.2">
      <c r="A23" s="21">
        <f t="shared" si="0"/>
        <v>17</v>
      </c>
      <c r="B23" s="16" t="s">
        <v>90</v>
      </c>
      <c r="C23" s="22" t="s">
        <v>16</v>
      </c>
      <c r="D23" s="23" t="s">
        <v>211</v>
      </c>
      <c r="E23" s="197" t="s">
        <v>477</v>
      </c>
      <c r="F23" s="24" t="s">
        <v>31</v>
      </c>
      <c r="G23" s="14" t="s">
        <v>217</v>
      </c>
      <c r="H23" s="10" t="s">
        <v>33</v>
      </c>
      <c r="I23" s="288">
        <v>151999793</v>
      </c>
      <c r="J23" s="288">
        <v>151999793</v>
      </c>
      <c r="K23" s="419">
        <v>42408</v>
      </c>
      <c r="L23" s="420">
        <v>42485</v>
      </c>
      <c r="M23" s="420">
        <v>42485</v>
      </c>
      <c r="N23" s="6">
        <v>240</v>
      </c>
      <c r="O23" s="420">
        <f>M23+N23</f>
        <v>42725</v>
      </c>
      <c r="P23" s="160" t="s">
        <v>51</v>
      </c>
      <c r="Q23" s="9" t="s">
        <v>678</v>
      </c>
      <c r="R23" s="11" t="s">
        <v>341</v>
      </c>
      <c r="S23" s="166" t="s">
        <v>330</v>
      </c>
      <c r="T23" s="336" t="s">
        <v>680</v>
      </c>
      <c r="U23" s="179" t="s">
        <v>310</v>
      </c>
      <c r="V23" s="127"/>
      <c r="W23" s="127"/>
      <c r="X23" s="127"/>
      <c r="Y23" s="3"/>
      <c r="Z23" s="3"/>
      <c r="AA23" s="468"/>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row>
    <row r="24" spans="1:240" s="4" customFormat="1" ht="178.5" customHeight="1" x14ac:dyDescent="0.2">
      <c r="A24" s="21">
        <f t="shared" si="0"/>
        <v>18</v>
      </c>
      <c r="B24" s="16" t="s">
        <v>90</v>
      </c>
      <c r="C24" s="22" t="s">
        <v>16</v>
      </c>
      <c r="D24" s="23" t="s">
        <v>211</v>
      </c>
      <c r="E24" s="197">
        <v>3120210</v>
      </c>
      <c r="F24" s="24" t="s">
        <v>31</v>
      </c>
      <c r="G24" s="14" t="s">
        <v>217</v>
      </c>
      <c r="H24" s="10" t="s">
        <v>28</v>
      </c>
      <c r="I24" s="26">
        <v>60327000</v>
      </c>
      <c r="J24" s="26"/>
      <c r="K24" s="419">
        <v>42602</v>
      </c>
      <c r="L24" s="420">
        <v>42668</v>
      </c>
      <c r="M24" s="420">
        <v>42673</v>
      </c>
      <c r="N24" s="6">
        <v>30</v>
      </c>
      <c r="O24" s="420">
        <f>+M24+N24</f>
        <v>42703</v>
      </c>
      <c r="P24" s="160" t="s">
        <v>52</v>
      </c>
      <c r="Q24" s="25" t="s">
        <v>53</v>
      </c>
      <c r="R24" s="11" t="s">
        <v>54</v>
      </c>
      <c r="S24" s="166" t="s">
        <v>330</v>
      </c>
      <c r="T24" s="127"/>
      <c r="U24" s="386"/>
      <c r="V24" s="127"/>
      <c r="W24" s="127"/>
      <c r="X24" s="127"/>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row>
    <row r="25" spans="1:240" s="4" customFormat="1" ht="140.25" customHeight="1" x14ac:dyDescent="0.2">
      <c r="A25" s="21">
        <f t="shared" si="0"/>
        <v>19</v>
      </c>
      <c r="B25" s="16" t="s">
        <v>90</v>
      </c>
      <c r="C25" s="22" t="s">
        <v>16</v>
      </c>
      <c r="D25" s="23" t="s">
        <v>211</v>
      </c>
      <c r="E25" s="197">
        <v>3120210</v>
      </c>
      <c r="F25" s="24" t="s">
        <v>31</v>
      </c>
      <c r="G25" s="14" t="s">
        <v>217</v>
      </c>
      <c r="H25" s="10" t="s">
        <v>55</v>
      </c>
      <c r="I25" s="26">
        <v>40000207</v>
      </c>
      <c r="J25" s="26"/>
      <c r="K25" s="419">
        <v>42602</v>
      </c>
      <c r="L25" s="420">
        <v>42668</v>
      </c>
      <c r="M25" s="420">
        <v>42668</v>
      </c>
      <c r="N25" s="6">
        <v>30</v>
      </c>
      <c r="O25" s="420">
        <v>42699</v>
      </c>
      <c r="P25" s="160" t="s">
        <v>56</v>
      </c>
      <c r="Q25" s="25" t="s">
        <v>750</v>
      </c>
      <c r="R25" s="11" t="s">
        <v>57</v>
      </c>
      <c r="S25" s="166" t="s">
        <v>330</v>
      </c>
      <c r="T25" s="127"/>
      <c r="U25" s="386"/>
      <c r="V25" s="127"/>
      <c r="W25" s="127"/>
      <c r="X25" s="127"/>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row>
    <row r="26" spans="1:240" s="4" customFormat="1" ht="76.5" customHeight="1" x14ac:dyDescent="0.2">
      <c r="A26" s="21">
        <f t="shared" si="0"/>
        <v>20</v>
      </c>
      <c r="B26" s="16" t="s">
        <v>90</v>
      </c>
      <c r="C26" s="22" t="s">
        <v>16</v>
      </c>
      <c r="D26" s="23" t="s">
        <v>211</v>
      </c>
      <c r="E26" s="197">
        <v>3120210</v>
      </c>
      <c r="F26" s="24" t="s">
        <v>31</v>
      </c>
      <c r="G26" s="14" t="s">
        <v>217</v>
      </c>
      <c r="H26" s="10" t="s">
        <v>58</v>
      </c>
      <c r="I26" s="26">
        <v>110000000</v>
      </c>
      <c r="J26" s="26"/>
      <c r="K26" s="419">
        <v>42607</v>
      </c>
      <c r="L26" s="420">
        <v>42693</v>
      </c>
      <c r="M26" s="420">
        <v>42715</v>
      </c>
      <c r="N26" s="6">
        <v>3</v>
      </c>
      <c r="O26" s="420">
        <v>42718</v>
      </c>
      <c r="P26" s="160" t="s">
        <v>59</v>
      </c>
      <c r="Q26" s="25" t="s">
        <v>60</v>
      </c>
      <c r="R26" s="11" t="s">
        <v>61</v>
      </c>
      <c r="S26" s="166" t="s">
        <v>330</v>
      </c>
      <c r="T26" s="127"/>
      <c r="U26" s="386"/>
      <c r="V26" s="127"/>
      <c r="W26" s="127"/>
      <c r="X26" s="127"/>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row>
    <row r="27" spans="1:240" s="4" customFormat="1" ht="90" customHeight="1" x14ac:dyDescent="0.2">
      <c r="A27" s="21">
        <f t="shared" si="0"/>
        <v>21</v>
      </c>
      <c r="B27" s="16" t="s">
        <v>90</v>
      </c>
      <c r="C27" s="22" t="s">
        <v>16</v>
      </c>
      <c r="D27" s="23" t="s">
        <v>211</v>
      </c>
      <c r="E27" s="197">
        <v>3120210</v>
      </c>
      <c r="F27" s="24" t="s">
        <v>31</v>
      </c>
      <c r="G27" s="14" t="s">
        <v>217</v>
      </c>
      <c r="H27" s="10" t="s">
        <v>28</v>
      </c>
      <c r="I27" s="26">
        <v>57000000</v>
      </c>
      <c r="J27" s="26"/>
      <c r="K27" s="419">
        <v>42602</v>
      </c>
      <c r="L27" s="420">
        <v>42644</v>
      </c>
      <c r="M27" s="420">
        <v>42648</v>
      </c>
      <c r="N27" s="6">
        <v>10</v>
      </c>
      <c r="O27" s="420">
        <f>+M27+N27</f>
        <v>42658</v>
      </c>
      <c r="P27" s="160" t="s">
        <v>751</v>
      </c>
      <c r="Q27" s="25" t="s">
        <v>752</v>
      </c>
      <c r="R27" s="11" t="s">
        <v>753</v>
      </c>
      <c r="S27" s="166" t="s">
        <v>330</v>
      </c>
      <c r="T27" s="127"/>
      <c r="U27" s="386"/>
      <c r="V27" s="127"/>
      <c r="W27" s="127"/>
      <c r="X27" s="127"/>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row>
    <row r="28" spans="1:240" s="4" customFormat="1" ht="76.5" customHeight="1" x14ac:dyDescent="0.2">
      <c r="A28" s="21">
        <f t="shared" si="0"/>
        <v>22</v>
      </c>
      <c r="B28" s="16" t="s">
        <v>90</v>
      </c>
      <c r="C28" s="22" t="s">
        <v>16</v>
      </c>
      <c r="D28" s="23" t="s">
        <v>211</v>
      </c>
      <c r="E28" s="197">
        <v>3120210</v>
      </c>
      <c r="F28" s="24" t="s">
        <v>31</v>
      </c>
      <c r="G28" s="14" t="s">
        <v>32</v>
      </c>
      <c r="H28" s="10" t="s">
        <v>55</v>
      </c>
      <c r="I28" s="26">
        <v>10000000</v>
      </c>
      <c r="J28" s="26"/>
      <c r="K28" s="419">
        <v>42602</v>
      </c>
      <c r="L28" s="420">
        <v>42644</v>
      </c>
      <c r="M28" s="420">
        <v>42648</v>
      </c>
      <c r="N28" s="6">
        <v>10</v>
      </c>
      <c r="O28" s="420">
        <f>+M28+N28</f>
        <v>42658</v>
      </c>
      <c r="P28" s="160" t="s">
        <v>754</v>
      </c>
      <c r="Q28" s="25" t="s">
        <v>755</v>
      </c>
      <c r="R28" s="11" t="s">
        <v>756</v>
      </c>
      <c r="S28" s="166" t="s">
        <v>330</v>
      </c>
      <c r="T28" s="127"/>
      <c r="U28" s="386"/>
      <c r="V28" s="127"/>
      <c r="W28" s="127"/>
      <c r="X28" s="127"/>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row>
    <row r="29" spans="1:240" s="209" customFormat="1" ht="88.5" customHeight="1" x14ac:dyDescent="0.2">
      <c r="A29" s="21">
        <f t="shared" si="0"/>
        <v>23</v>
      </c>
      <c r="B29" s="16" t="s">
        <v>90</v>
      </c>
      <c r="C29" s="22" t="s">
        <v>16</v>
      </c>
      <c r="D29" s="23" t="s">
        <v>211</v>
      </c>
      <c r="E29" s="197">
        <v>3120212</v>
      </c>
      <c r="F29" s="24" t="s">
        <v>62</v>
      </c>
      <c r="G29" s="14" t="s">
        <v>32</v>
      </c>
      <c r="H29" s="10" t="s">
        <v>63</v>
      </c>
      <c r="I29" s="26">
        <v>7700000</v>
      </c>
      <c r="J29" s="26"/>
      <c r="K29" s="419">
        <v>42597</v>
      </c>
      <c r="L29" s="420">
        <v>42628</v>
      </c>
      <c r="M29" s="420">
        <v>42633</v>
      </c>
      <c r="N29" s="6">
        <v>15</v>
      </c>
      <c r="O29" s="420">
        <v>42643</v>
      </c>
      <c r="P29" s="160" t="s">
        <v>64</v>
      </c>
      <c r="Q29" s="25" t="s">
        <v>65</v>
      </c>
      <c r="R29" s="11" t="s">
        <v>66</v>
      </c>
      <c r="S29" s="166" t="s">
        <v>330</v>
      </c>
      <c r="T29" s="207"/>
      <c r="U29" s="472"/>
      <c r="V29" s="207"/>
      <c r="W29" s="207"/>
      <c r="X29" s="207"/>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8"/>
      <c r="HG29" s="208"/>
      <c r="HH29" s="208"/>
      <c r="HI29" s="208"/>
      <c r="HJ29" s="208"/>
      <c r="HK29" s="208"/>
      <c r="HL29" s="208"/>
      <c r="HM29" s="208"/>
      <c r="HN29" s="208"/>
      <c r="HO29" s="208"/>
      <c r="HP29" s="208"/>
      <c r="HQ29" s="208"/>
      <c r="HR29" s="208"/>
      <c r="HS29" s="208"/>
      <c r="HT29" s="208"/>
      <c r="HU29" s="208"/>
      <c r="HV29" s="208"/>
      <c r="HW29" s="208"/>
      <c r="HX29" s="208"/>
      <c r="HY29" s="208"/>
      <c r="HZ29" s="208"/>
      <c r="IA29" s="208"/>
      <c r="IB29" s="208"/>
      <c r="IC29" s="208"/>
      <c r="ID29" s="208"/>
      <c r="IE29" s="208"/>
      <c r="IF29" s="208"/>
    </row>
    <row r="30" spans="1:240" s="550" customFormat="1" ht="176.25" customHeight="1" x14ac:dyDescent="0.2">
      <c r="A30" s="21">
        <f t="shared" si="0"/>
        <v>24</v>
      </c>
      <c r="B30" s="534" t="s">
        <v>90</v>
      </c>
      <c r="C30" s="535" t="s">
        <v>16</v>
      </c>
      <c r="D30" s="536" t="s">
        <v>211</v>
      </c>
      <c r="E30" s="537">
        <v>3120212</v>
      </c>
      <c r="F30" s="538" t="s">
        <v>62</v>
      </c>
      <c r="G30" s="539" t="s">
        <v>32</v>
      </c>
      <c r="H30" s="481" t="s">
        <v>63</v>
      </c>
      <c r="I30" s="517">
        <v>22200000</v>
      </c>
      <c r="J30" s="505"/>
      <c r="K30" s="540">
        <v>42524</v>
      </c>
      <c r="L30" s="526">
        <f>K30+60</f>
        <v>42584</v>
      </c>
      <c r="M30" s="526">
        <f>L30+5</f>
        <v>42589</v>
      </c>
      <c r="N30" s="541">
        <v>30</v>
      </c>
      <c r="O30" s="526">
        <f>M30+N30</f>
        <v>42619</v>
      </c>
      <c r="P30" s="542" t="s">
        <v>67</v>
      </c>
      <c r="Q30" s="543" t="s">
        <v>757</v>
      </c>
      <c r="R30" s="544" t="s">
        <v>68</v>
      </c>
      <c r="S30" s="545" t="s">
        <v>330</v>
      </c>
      <c r="T30" s="546" t="s">
        <v>836</v>
      </c>
      <c r="U30" s="547" t="s">
        <v>302</v>
      </c>
      <c r="V30" s="548"/>
      <c r="W30" s="548"/>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c r="BQ30" s="549"/>
      <c r="BR30" s="549"/>
      <c r="BS30" s="549"/>
      <c r="BT30" s="549"/>
      <c r="BU30" s="549"/>
      <c r="BV30" s="549"/>
      <c r="BW30" s="549"/>
      <c r="BX30" s="549"/>
      <c r="BY30" s="549"/>
      <c r="BZ30" s="549"/>
      <c r="CA30" s="549"/>
      <c r="CB30" s="549"/>
      <c r="CC30" s="549"/>
      <c r="CD30" s="549"/>
      <c r="CE30" s="549"/>
      <c r="CF30" s="549"/>
      <c r="CG30" s="549"/>
      <c r="CH30" s="549"/>
      <c r="CI30" s="549"/>
      <c r="CJ30" s="549"/>
      <c r="CK30" s="549"/>
      <c r="CL30" s="549"/>
      <c r="CM30" s="549"/>
      <c r="CN30" s="549"/>
      <c r="CO30" s="549"/>
      <c r="CP30" s="549"/>
      <c r="CQ30" s="549"/>
      <c r="CR30" s="549"/>
      <c r="CS30" s="549"/>
      <c r="CT30" s="549"/>
      <c r="CU30" s="549"/>
      <c r="CV30" s="549"/>
      <c r="CW30" s="549"/>
      <c r="CX30" s="549"/>
      <c r="CY30" s="549"/>
      <c r="CZ30" s="549"/>
      <c r="DA30" s="549"/>
      <c r="DB30" s="549"/>
      <c r="DC30" s="549"/>
      <c r="DD30" s="549"/>
      <c r="DE30" s="549"/>
      <c r="DF30" s="549"/>
      <c r="DG30" s="549"/>
      <c r="DH30" s="549"/>
      <c r="DI30" s="549"/>
      <c r="DJ30" s="549"/>
      <c r="DK30" s="549"/>
      <c r="DL30" s="549"/>
      <c r="DM30" s="549"/>
      <c r="DN30" s="549"/>
      <c r="DO30" s="549"/>
      <c r="DP30" s="549"/>
      <c r="DQ30" s="549"/>
      <c r="DR30" s="549"/>
      <c r="DS30" s="549"/>
      <c r="DT30" s="549"/>
      <c r="DU30" s="549"/>
      <c r="DV30" s="549"/>
      <c r="DW30" s="549"/>
      <c r="DX30" s="549"/>
      <c r="DY30" s="549"/>
      <c r="DZ30" s="549"/>
      <c r="EA30" s="549"/>
      <c r="EB30" s="549"/>
      <c r="EC30" s="549"/>
      <c r="ED30" s="549"/>
      <c r="EE30" s="549"/>
      <c r="EF30" s="549"/>
      <c r="EG30" s="549"/>
      <c r="EH30" s="549"/>
      <c r="EI30" s="549"/>
      <c r="EJ30" s="549"/>
      <c r="EK30" s="549"/>
      <c r="EL30" s="549"/>
      <c r="EM30" s="549"/>
      <c r="EN30" s="549"/>
      <c r="EO30" s="549"/>
      <c r="EP30" s="549"/>
      <c r="EQ30" s="549"/>
      <c r="ER30" s="549"/>
      <c r="ES30" s="549"/>
      <c r="ET30" s="549"/>
      <c r="EU30" s="549"/>
      <c r="EV30" s="549"/>
      <c r="EW30" s="549"/>
      <c r="EX30" s="549"/>
      <c r="EY30" s="549"/>
      <c r="EZ30" s="549"/>
      <c r="FA30" s="549"/>
      <c r="FB30" s="549"/>
      <c r="FC30" s="549"/>
      <c r="FD30" s="549"/>
      <c r="FE30" s="549"/>
      <c r="FF30" s="549"/>
      <c r="FG30" s="549"/>
      <c r="FH30" s="549"/>
      <c r="FI30" s="549"/>
      <c r="FJ30" s="549"/>
      <c r="FK30" s="549"/>
      <c r="FL30" s="549"/>
      <c r="FM30" s="549"/>
      <c r="FN30" s="549"/>
      <c r="FO30" s="549"/>
      <c r="FP30" s="549"/>
      <c r="FQ30" s="549"/>
      <c r="FR30" s="549"/>
      <c r="FS30" s="549"/>
      <c r="FT30" s="549"/>
      <c r="FU30" s="549"/>
      <c r="FV30" s="549"/>
      <c r="FW30" s="549"/>
      <c r="FX30" s="549"/>
      <c r="FY30" s="549"/>
      <c r="FZ30" s="549"/>
      <c r="GA30" s="549"/>
      <c r="GB30" s="549"/>
      <c r="GC30" s="549"/>
      <c r="GD30" s="549"/>
      <c r="GE30" s="549"/>
      <c r="GF30" s="549"/>
      <c r="GG30" s="549"/>
      <c r="GH30" s="549"/>
      <c r="GI30" s="549"/>
      <c r="GJ30" s="549"/>
      <c r="GK30" s="549"/>
      <c r="GL30" s="549"/>
      <c r="GM30" s="549"/>
      <c r="GN30" s="549"/>
      <c r="GO30" s="549"/>
      <c r="GP30" s="549"/>
      <c r="GQ30" s="549"/>
      <c r="GR30" s="549"/>
      <c r="GS30" s="549"/>
      <c r="GT30" s="549"/>
      <c r="GU30" s="549"/>
      <c r="GV30" s="549"/>
      <c r="GW30" s="549"/>
      <c r="GX30" s="549"/>
      <c r="GY30" s="549"/>
      <c r="GZ30" s="549"/>
      <c r="HA30" s="549"/>
      <c r="HB30" s="549"/>
      <c r="HC30" s="549"/>
      <c r="HD30" s="549"/>
      <c r="HE30" s="549"/>
      <c r="HF30" s="549"/>
      <c r="HG30" s="549"/>
      <c r="HH30" s="549"/>
      <c r="HI30" s="549"/>
      <c r="HJ30" s="549"/>
      <c r="HK30" s="549"/>
      <c r="HL30" s="549"/>
      <c r="HM30" s="549"/>
      <c r="HN30" s="549"/>
      <c r="HO30" s="549"/>
      <c r="HP30" s="549"/>
      <c r="HQ30" s="549"/>
      <c r="HR30" s="549"/>
      <c r="HS30" s="549"/>
      <c r="HT30" s="549"/>
      <c r="HU30" s="549"/>
      <c r="HV30" s="549"/>
      <c r="HW30" s="549"/>
      <c r="HX30" s="549"/>
      <c r="HY30" s="549"/>
      <c r="HZ30" s="549"/>
      <c r="IA30" s="549"/>
      <c r="IB30" s="549"/>
      <c r="IC30" s="549"/>
      <c r="ID30" s="549"/>
      <c r="IE30" s="549"/>
      <c r="IF30" s="549"/>
    </row>
    <row r="31" spans="1:240" s="4" customFormat="1" ht="258" customHeight="1" x14ac:dyDescent="0.2">
      <c r="A31" s="21">
        <f t="shared" si="0"/>
        <v>25</v>
      </c>
      <c r="B31" s="16" t="s">
        <v>90</v>
      </c>
      <c r="C31" s="22" t="s">
        <v>16</v>
      </c>
      <c r="D31" s="23" t="s">
        <v>211</v>
      </c>
      <c r="E31" s="197">
        <v>3120212</v>
      </c>
      <c r="F31" s="24" t="s">
        <v>62</v>
      </c>
      <c r="G31" s="14" t="s">
        <v>32</v>
      </c>
      <c r="H31" s="10" t="s">
        <v>63</v>
      </c>
      <c r="I31" s="26">
        <v>9943940</v>
      </c>
      <c r="J31" s="432"/>
      <c r="K31" s="419">
        <v>42459</v>
      </c>
      <c r="L31" s="420">
        <v>42490</v>
      </c>
      <c r="M31" s="420">
        <v>42519</v>
      </c>
      <c r="N31" s="6">
        <v>30</v>
      </c>
      <c r="O31" s="420">
        <v>42566</v>
      </c>
      <c r="P31" s="160" t="s">
        <v>69</v>
      </c>
      <c r="Q31" s="25" t="s">
        <v>579</v>
      </c>
      <c r="R31" s="11" t="s">
        <v>70</v>
      </c>
      <c r="S31" s="166" t="s">
        <v>330</v>
      </c>
      <c r="T31" s="377" t="s">
        <v>580</v>
      </c>
      <c r="U31" s="179" t="s">
        <v>302</v>
      </c>
      <c r="V31" s="127"/>
      <c r="W31" s="127"/>
      <c r="X31" s="127"/>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row>
    <row r="32" spans="1:240" s="550" customFormat="1" ht="248.25" customHeight="1" x14ac:dyDescent="0.2">
      <c r="A32" s="21">
        <f t="shared" si="0"/>
        <v>26</v>
      </c>
      <c r="B32" s="534" t="s">
        <v>90</v>
      </c>
      <c r="C32" s="535" t="s">
        <v>16</v>
      </c>
      <c r="D32" s="536" t="s">
        <v>211</v>
      </c>
      <c r="E32" s="537">
        <v>3120212</v>
      </c>
      <c r="F32" s="538" t="s">
        <v>62</v>
      </c>
      <c r="G32" s="539" t="s">
        <v>578</v>
      </c>
      <c r="H32" s="481" t="s">
        <v>71</v>
      </c>
      <c r="I32" s="517">
        <v>17013000</v>
      </c>
      <c r="J32" s="517">
        <v>17013000</v>
      </c>
      <c r="K32" s="540">
        <v>42459</v>
      </c>
      <c r="L32" s="526">
        <v>42496</v>
      </c>
      <c r="M32" s="526">
        <v>42523</v>
      </c>
      <c r="N32" s="541">
        <v>90</v>
      </c>
      <c r="O32" s="526">
        <v>42614</v>
      </c>
      <c r="P32" s="542" t="s">
        <v>72</v>
      </c>
      <c r="Q32" s="543" t="s">
        <v>609</v>
      </c>
      <c r="R32" s="544" t="s">
        <v>73</v>
      </c>
      <c r="S32" s="545" t="s">
        <v>330</v>
      </c>
      <c r="T32" s="606" t="s">
        <v>758</v>
      </c>
      <c r="U32" s="547" t="s">
        <v>310</v>
      </c>
      <c r="V32" s="607" t="s">
        <v>627</v>
      </c>
      <c r="W32" s="548"/>
      <c r="X32" s="548"/>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549"/>
      <c r="BQ32" s="549"/>
      <c r="BR32" s="549"/>
      <c r="BS32" s="549"/>
      <c r="BT32" s="549"/>
      <c r="BU32" s="549"/>
      <c r="BV32" s="549"/>
      <c r="BW32" s="549"/>
      <c r="BX32" s="549"/>
      <c r="BY32" s="549"/>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49"/>
      <c r="DY32" s="549"/>
      <c r="DZ32" s="549"/>
      <c r="EA32" s="549"/>
      <c r="EB32" s="549"/>
      <c r="EC32" s="549"/>
      <c r="ED32" s="549"/>
      <c r="EE32" s="549"/>
      <c r="EF32" s="549"/>
      <c r="EG32" s="549"/>
      <c r="EH32" s="549"/>
      <c r="EI32" s="549"/>
      <c r="EJ32" s="549"/>
      <c r="EK32" s="549"/>
      <c r="EL32" s="549"/>
      <c r="EM32" s="549"/>
      <c r="EN32" s="549"/>
      <c r="EO32" s="549"/>
      <c r="EP32" s="549"/>
      <c r="EQ32" s="549"/>
      <c r="ER32" s="549"/>
      <c r="ES32" s="549"/>
      <c r="ET32" s="549"/>
      <c r="EU32" s="549"/>
      <c r="EV32" s="549"/>
      <c r="EW32" s="549"/>
      <c r="EX32" s="549"/>
      <c r="EY32" s="549"/>
      <c r="EZ32" s="549"/>
      <c r="FA32" s="549"/>
      <c r="FB32" s="549"/>
      <c r="FC32" s="549"/>
      <c r="FD32" s="549"/>
      <c r="FE32" s="549"/>
      <c r="FF32" s="549"/>
      <c r="FG32" s="549"/>
      <c r="FH32" s="549"/>
      <c r="FI32" s="549"/>
      <c r="FJ32" s="549"/>
      <c r="FK32" s="549"/>
      <c r="FL32" s="549"/>
      <c r="FM32" s="549"/>
      <c r="FN32" s="549"/>
      <c r="FO32" s="549"/>
      <c r="FP32" s="549"/>
      <c r="FQ32" s="549"/>
      <c r="FR32" s="549"/>
      <c r="FS32" s="549"/>
      <c r="FT32" s="549"/>
      <c r="FU32" s="549"/>
      <c r="FV32" s="549"/>
      <c r="FW32" s="549"/>
      <c r="FX32" s="549"/>
      <c r="FY32" s="549"/>
      <c r="FZ32" s="549"/>
      <c r="GA32" s="549"/>
      <c r="GB32" s="549"/>
      <c r="GC32" s="549"/>
      <c r="GD32" s="549"/>
      <c r="GE32" s="549"/>
      <c r="GF32" s="549"/>
      <c r="GG32" s="549"/>
      <c r="GH32" s="549"/>
      <c r="GI32" s="549"/>
      <c r="GJ32" s="549"/>
      <c r="GK32" s="549"/>
      <c r="GL32" s="549"/>
      <c r="GM32" s="549"/>
      <c r="GN32" s="549"/>
      <c r="GO32" s="549"/>
      <c r="GP32" s="549"/>
      <c r="GQ32" s="549"/>
      <c r="GR32" s="549"/>
      <c r="GS32" s="549"/>
      <c r="GT32" s="549"/>
      <c r="GU32" s="549"/>
      <c r="GV32" s="549"/>
      <c r="GW32" s="549"/>
      <c r="GX32" s="549"/>
      <c r="GY32" s="549"/>
      <c r="GZ32" s="549"/>
      <c r="HA32" s="549"/>
      <c r="HB32" s="549"/>
      <c r="HC32" s="549"/>
      <c r="HD32" s="549"/>
      <c r="HE32" s="549"/>
      <c r="HF32" s="549"/>
      <c r="HG32" s="549"/>
      <c r="HH32" s="549"/>
      <c r="HI32" s="549"/>
      <c r="HJ32" s="549"/>
      <c r="HK32" s="549"/>
      <c r="HL32" s="549"/>
      <c r="HM32" s="549"/>
      <c r="HN32" s="549"/>
      <c r="HO32" s="549"/>
      <c r="HP32" s="549"/>
      <c r="HQ32" s="549"/>
      <c r="HR32" s="549"/>
      <c r="HS32" s="549"/>
      <c r="HT32" s="549"/>
      <c r="HU32" s="549"/>
      <c r="HV32" s="549"/>
      <c r="HW32" s="549"/>
      <c r="HX32" s="549"/>
      <c r="HY32" s="549"/>
      <c r="HZ32" s="549"/>
      <c r="IA32" s="549"/>
      <c r="IB32" s="549"/>
      <c r="IC32" s="549"/>
      <c r="ID32" s="549"/>
      <c r="IE32" s="549"/>
      <c r="IF32" s="549"/>
    </row>
    <row r="33" spans="1:240" s="4" customFormat="1" ht="140.25" x14ac:dyDescent="0.2">
      <c r="A33" s="21">
        <f t="shared" si="0"/>
        <v>27</v>
      </c>
      <c r="B33" s="16" t="s">
        <v>90</v>
      </c>
      <c r="C33" s="22" t="s">
        <v>16</v>
      </c>
      <c r="D33" s="23" t="s">
        <v>211</v>
      </c>
      <c r="E33" s="197">
        <v>3120212</v>
      </c>
      <c r="F33" s="24" t="s">
        <v>62</v>
      </c>
      <c r="G33" s="14" t="s">
        <v>32</v>
      </c>
      <c r="H33" s="10" t="s">
        <v>63</v>
      </c>
      <c r="I33" s="26">
        <v>10000000</v>
      </c>
      <c r="J33" s="26"/>
      <c r="K33" s="419">
        <v>42510</v>
      </c>
      <c r="L33" s="420">
        <v>42541</v>
      </c>
      <c r="M33" s="420">
        <v>42570</v>
      </c>
      <c r="N33" s="6">
        <v>30</v>
      </c>
      <c r="O33" s="420">
        <v>42490</v>
      </c>
      <c r="P33" s="160" t="s">
        <v>74</v>
      </c>
      <c r="Q33" s="25" t="s">
        <v>75</v>
      </c>
      <c r="R33" s="11" t="s">
        <v>76</v>
      </c>
      <c r="S33" s="166" t="s">
        <v>330</v>
      </c>
      <c r="T33" s="166" t="s">
        <v>732</v>
      </c>
      <c r="U33" s="166" t="s">
        <v>302</v>
      </c>
      <c r="V33" s="127"/>
      <c r="W33" s="127"/>
      <c r="X33" s="127"/>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row>
    <row r="34" spans="1:240" s="4" customFormat="1" ht="233.25" customHeight="1" x14ac:dyDescent="0.2">
      <c r="A34" s="21">
        <f t="shared" si="0"/>
        <v>28</v>
      </c>
      <c r="B34" s="16" t="s">
        <v>90</v>
      </c>
      <c r="C34" s="22" t="s">
        <v>16</v>
      </c>
      <c r="D34" s="23" t="s">
        <v>211</v>
      </c>
      <c r="E34" s="197">
        <v>3120212</v>
      </c>
      <c r="F34" s="24" t="s">
        <v>62</v>
      </c>
      <c r="G34" s="14" t="s">
        <v>77</v>
      </c>
      <c r="H34" s="10" t="s">
        <v>28</v>
      </c>
      <c r="I34" s="508">
        <v>14000000</v>
      </c>
      <c r="J34" s="26"/>
      <c r="K34" s="419">
        <v>42515</v>
      </c>
      <c r="L34" s="420">
        <v>42576</v>
      </c>
      <c r="M34" s="420">
        <v>42581</v>
      </c>
      <c r="N34" s="176" t="s">
        <v>782</v>
      </c>
      <c r="O34" s="420">
        <v>42589</v>
      </c>
      <c r="P34" s="160" t="s">
        <v>773</v>
      </c>
      <c r="Q34" s="25" t="s">
        <v>771</v>
      </c>
      <c r="R34" s="11" t="s">
        <v>772</v>
      </c>
      <c r="S34" s="166" t="s">
        <v>330</v>
      </c>
      <c r="T34" s="336" t="s">
        <v>783</v>
      </c>
      <c r="U34" s="166" t="s">
        <v>737</v>
      </c>
      <c r="V34" s="127"/>
      <c r="W34" s="127"/>
      <c r="X34" s="127"/>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row>
    <row r="35" spans="1:240" s="4" customFormat="1" ht="216" customHeight="1" x14ac:dyDescent="0.2">
      <c r="A35" s="21">
        <f t="shared" si="0"/>
        <v>29</v>
      </c>
      <c r="B35" s="16" t="s">
        <v>90</v>
      </c>
      <c r="C35" s="22" t="s">
        <v>16</v>
      </c>
      <c r="D35" s="23" t="s">
        <v>211</v>
      </c>
      <c r="E35" s="197">
        <v>3120212</v>
      </c>
      <c r="F35" s="24" t="s">
        <v>62</v>
      </c>
      <c r="G35" s="14" t="s">
        <v>77</v>
      </c>
      <c r="H35" s="10" t="s">
        <v>28</v>
      </c>
      <c r="I35" s="509">
        <v>15500000</v>
      </c>
      <c r="J35" s="26"/>
      <c r="K35" s="419">
        <v>42514</v>
      </c>
      <c r="L35" s="420">
        <v>42575</v>
      </c>
      <c r="M35" s="420">
        <v>42581</v>
      </c>
      <c r="N35" s="176" t="s">
        <v>784</v>
      </c>
      <c r="O35" s="420">
        <v>42597</v>
      </c>
      <c r="P35" s="160" t="s">
        <v>637</v>
      </c>
      <c r="Q35" s="25" t="s">
        <v>774</v>
      </c>
      <c r="R35" s="11" t="s">
        <v>775</v>
      </c>
      <c r="S35" s="166" t="s">
        <v>330</v>
      </c>
      <c r="T35" s="336" t="s">
        <v>794</v>
      </c>
      <c r="U35" s="166" t="s">
        <v>737</v>
      </c>
      <c r="V35" s="127"/>
      <c r="W35" s="127"/>
      <c r="X35" s="127"/>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row>
    <row r="36" spans="1:240" s="4" customFormat="1" ht="237.75" customHeight="1" x14ac:dyDescent="0.2">
      <c r="A36" s="21">
        <f t="shared" si="0"/>
        <v>30</v>
      </c>
      <c r="B36" s="16" t="s">
        <v>90</v>
      </c>
      <c r="C36" s="22" t="s">
        <v>16</v>
      </c>
      <c r="D36" s="23" t="s">
        <v>211</v>
      </c>
      <c r="E36" s="197">
        <v>3120212</v>
      </c>
      <c r="F36" s="24" t="s">
        <v>62</v>
      </c>
      <c r="G36" s="14" t="s">
        <v>77</v>
      </c>
      <c r="H36" s="10" t="s">
        <v>28</v>
      </c>
      <c r="I36" s="509">
        <v>9000000</v>
      </c>
      <c r="J36" s="26"/>
      <c r="K36" s="419">
        <v>42514</v>
      </c>
      <c r="L36" s="420">
        <v>42575</v>
      </c>
      <c r="M36" s="420">
        <v>42581</v>
      </c>
      <c r="N36" s="176" t="s">
        <v>781</v>
      </c>
      <c r="O36" s="420">
        <v>42597</v>
      </c>
      <c r="P36" s="160" t="s">
        <v>776</v>
      </c>
      <c r="Q36" s="25" t="s">
        <v>777</v>
      </c>
      <c r="R36" s="11" t="s">
        <v>778</v>
      </c>
      <c r="S36" s="166" t="s">
        <v>330</v>
      </c>
      <c r="T36" s="336" t="s">
        <v>780</v>
      </c>
      <c r="U36" s="166"/>
      <c r="V36" s="127"/>
      <c r="W36" s="127"/>
      <c r="X36" s="127"/>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row>
    <row r="37" spans="1:240" s="4" customFormat="1" ht="154.5" customHeight="1" x14ac:dyDescent="0.2">
      <c r="A37" s="21">
        <f t="shared" si="0"/>
        <v>31</v>
      </c>
      <c r="B37" s="16" t="s">
        <v>90</v>
      </c>
      <c r="C37" s="22" t="s">
        <v>16</v>
      </c>
      <c r="D37" s="23" t="s">
        <v>211</v>
      </c>
      <c r="E37" s="197">
        <v>3120212</v>
      </c>
      <c r="F37" s="24" t="s">
        <v>62</v>
      </c>
      <c r="G37" s="14" t="s">
        <v>32</v>
      </c>
      <c r="H37" s="10" t="s">
        <v>71</v>
      </c>
      <c r="I37" s="294">
        <v>12261060</v>
      </c>
      <c r="J37" s="294">
        <v>12261060</v>
      </c>
      <c r="K37" s="419">
        <v>42405</v>
      </c>
      <c r="L37" s="420">
        <v>42444</v>
      </c>
      <c r="M37" s="420">
        <v>42464</v>
      </c>
      <c r="N37" s="6">
        <v>365</v>
      </c>
      <c r="O37" s="420">
        <v>42828</v>
      </c>
      <c r="P37" s="160" t="s">
        <v>78</v>
      </c>
      <c r="Q37" s="25" t="s">
        <v>541</v>
      </c>
      <c r="R37" s="11" t="s">
        <v>79</v>
      </c>
      <c r="S37" s="166" t="s">
        <v>330</v>
      </c>
      <c r="T37" s="336" t="s">
        <v>569</v>
      </c>
      <c r="U37" s="166" t="s">
        <v>310</v>
      </c>
      <c r="V37" s="127"/>
      <c r="W37" s="127"/>
      <c r="X37" s="127"/>
      <c r="Y37" s="3"/>
      <c r="Z37" s="3"/>
      <c r="AA37" s="468"/>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row>
    <row r="38" spans="1:240" s="4" customFormat="1" ht="140.25" customHeight="1" x14ac:dyDescent="0.2">
      <c r="A38" s="21">
        <f t="shared" si="0"/>
        <v>32</v>
      </c>
      <c r="B38" s="16" t="s">
        <v>90</v>
      </c>
      <c r="C38" s="22" t="s">
        <v>16</v>
      </c>
      <c r="D38" s="23" t="s">
        <v>228</v>
      </c>
      <c r="E38" s="22" t="s">
        <v>599</v>
      </c>
      <c r="F38" s="24" t="s">
        <v>62</v>
      </c>
      <c r="G38" s="14" t="s">
        <v>81</v>
      </c>
      <c r="H38" s="10" t="s">
        <v>218</v>
      </c>
      <c r="I38" s="26">
        <v>44000000</v>
      </c>
      <c r="J38" s="26">
        <v>44000000</v>
      </c>
      <c r="K38" s="419">
        <v>42418</v>
      </c>
      <c r="L38" s="420">
        <v>42439</v>
      </c>
      <c r="M38" s="421">
        <v>42444</v>
      </c>
      <c r="N38" s="21">
        <v>210</v>
      </c>
      <c r="O38" s="421">
        <v>42657</v>
      </c>
      <c r="P38" s="160" t="s">
        <v>82</v>
      </c>
      <c r="Q38" s="25" t="s">
        <v>528</v>
      </c>
      <c r="R38" s="11" t="s">
        <v>83</v>
      </c>
      <c r="S38" s="166" t="s">
        <v>330</v>
      </c>
      <c r="T38" s="336" t="s">
        <v>567</v>
      </c>
      <c r="U38" s="166" t="s">
        <v>310</v>
      </c>
      <c r="V38" s="127"/>
      <c r="W38" s="127"/>
      <c r="X38" s="127"/>
      <c r="Y38" s="3"/>
      <c r="Z38" s="3"/>
      <c r="AA38" s="468"/>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4" customFormat="1" ht="140.25" customHeight="1" x14ac:dyDescent="0.2">
      <c r="A39" s="21">
        <f t="shared" si="0"/>
        <v>33</v>
      </c>
      <c r="B39" s="16" t="s">
        <v>90</v>
      </c>
      <c r="C39" s="22" t="s">
        <v>16</v>
      </c>
      <c r="D39" s="23" t="s">
        <v>228</v>
      </c>
      <c r="E39" s="22" t="s">
        <v>599</v>
      </c>
      <c r="F39" s="24" t="s">
        <v>62</v>
      </c>
      <c r="G39" s="14" t="s">
        <v>32</v>
      </c>
      <c r="H39" s="10" t="s">
        <v>55</v>
      </c>
      <c r="I39" s="26">
        <v>1000000</v>
      </c>
      <c r="J39" s="26"/>
      <c r="K39" s="419">
        <v>42513</v>
      </c>
      <c r="L39" s="420">
        <v>42574</v>
      </c>
      <c r="M39" s="421">
        <v>42579</v>
      </c>
      <c r="N39" s="21">
        <v>30</v>
      </c>
      <c r="O39" s="421">
        <f>+M39+N39</f>
        <v>42609</v>
      </c>
      <c r="P39" s="160" t="s">
        <v>759</v>
      </c>
      <c r="Q39" s="25" t="s">
        <v>760</v>
      </c>
      <c r="R39" s="11" t="s">
        <v>761</v>
      </c>
      <c r="S39" s="166" t="s">
        <v>330</v>
      </c>
      <c r="T39" s="336" t="s">
        <v>785</v>
      </c>
      <c r="U39" s="166" t="s">
        <v>737</v>
      </c>
      <c r="V39" s="127"/>
      <c r="W39" s="127"/>
      <c r="X39" s="127"/>
      <c r="Y39" s="3" t="s">
        <v>786</v>
      </c>
      <c r="Z39" s="3"/>
      <c r="AA39" s="468"/>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s="4" customFormat="1" ht="140.25" customHeight="1" x14ac:dyDescent="0.2">
      <c r="A40" s="21">
        <f t="shared" si="0"/>
        <v>34</v>
      </c>
      <c r="B40" s="16" t="s">
        <v>90</v>
      </c>
      <c r="C40" s="22" t="s">
        <v>16</v>
      </c>
      <c r="D40" s="23" t="s">
        <v>228</v>
      </c>
      <c r="E40" s="22" t="s">
        <v>599</v>
      </c>
      <c r="F40" s="24" t="s">
        <v>62</v>
      </c>
      <c r="G40" s="14" t="s">
        <v>32</v>
      </c>
      <c r="H40" s="10" t="s">
        <v>28</v>
      </c>
      <c r="I40" s="26">
        <v>4000000</v>
      </c>
      <c r="J40" s="26"/>
      <c r="K40" s="419">
        <v>42513</v>
      </c>
      <c r="L40" s="420">
        <v>42574</v>
      </c>
      <c r="M40" s="421">
        <v>42579</v>
      </c>
      <c r="N40" s="21">
        <v>30</v>
      </c>
      <c r="O40" s="421">
        <f>+M40+N40</f>
        <v>42609</v>
      </c>
      <c r="P40" s="160" t="s">
        <v>762</v>
      </c>
      <c r="Q40" s="25" t="s">
        <v>763</v>
      </c>
      <c r="R40" s="11" t="s">
        <v>764</v>
      </c>
      <c r="S40" s="166" t="s">
        <v>330</v>
      </c>
      <c r="T40" s="336" t="s">
        <v>787</v>
      </c>
      <c r="U40" s="166" t="s">
        <v>737</v>
      </c>
      <c r="V40" s="127"/>
      <c r="W40" s="127"/>
      <c r="X40" s="127"/>
      <c r="Y40" s="3" t="s">
        <v>786</v>
      </c>
      <c r="Z40" s="3"/>
      <c r="AA40" s="468"/>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row>
    <row r="41" spans="1:240" s="4" customFormat="1" ht="72" customHeight="1" x14ac:dyDescent="0.2">
      <c r="A41" s="21">
        <f t="shared" si="0"/>
        <v>35</v>
      </c>
      <c r="B41" s="16" t="s">
        <v>90</v>
      </c>
      <c r="C41" s="22" t="s">
        <v>16</v>
      </c>
      <c r="D41" s="23" t="s">
        <v>211</v>
      </c>
      <c r="E41" s="22">
        <v>312020501</v>
      </c>
      <c r="F41" s="24" t="s">
        <v>84</v>
      </c>
      <c r="G41" s="14" t="s">
        <v>32</v>
      </c>
      <c r="H41" s="10" t="s">
        <v>71</v>
      </c>
      <c r="I41" s="26">
        <v>5000000</v>
      </c>
      <c r="J41" s="26"/>
      <c r="K41" s="419">
        <v>42510</v>
      </c>
      <c r="L41" s="420">
        <v>42551</v>
      </c>
      <c r="M41" s="420">
        <v>42556</v>
      </c>
      <c r="N41" s="6" t="s">
        <v>738</v>
      </c>
      <c r="O41" s="420">
        <v>42563</v>
      </c>
      <c r="P41" s="160" t="s">
        <v>85</v>
      </c>
      <c r="Q41" s="25" t="s">
        <v>86</v>
      </c>
      <c r="R41" s="11" t="s">
        <v>87</v>
      </c>
      <c r="S41" s="166" t="s">
        <v>330</v>
      </c>
      <c r="T41" s="489" t="s">
        <v>736</v>
      </c>
      <c r="U41" s="386" t="s">
        <v>737</v>
      </c>
      <c r="V41" s="127"/>
      <c r="W41" s="127"/>
      <c r="X41" s="127"/>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4" customFormat="1" ht="225" customHeight="1" x14ac:dyDescent="0.2">
      <c r="A42" s="21">
        <f t="shared" si="0"/>
        <v>36</v>
      </c>
      <c r="B42" s="16" t="s">
        <v>90</v>
      </c>
      <c r="C42" s="22" t="s">
        <v>16</v>
      </c>
      <c r="D42" s="23" t="s">
        <v>211</v>
      </c>
      <c r="E42" s="22">
        <v>312020501</v>
      </c>
      <c r="F42" s="24" t="s">
        <v>84</v>
      </c>
      <c r="G42" s="14" t="s">
        <v>32</v>
      </c>
      <c r="H42" s="10" t="s">
        <v>63</v>
      </c>
      <c r="I42" s="26">
        <v>20000000</v>
      </c>
      <c r="J42" s="26"/>
      <c r="K42" s="419">
        <v>42461</v>
      </c>
      <c r="L42" s="420">
        <v>42515</v>
      </c>
      <c r="M42" s="420">
        <f>L42+5</f>
        <v>42520</v>
      </c>
      <c r="N42" s="6">
        <v>30</v>
      </c>
      <c r="O42" s="420">
        <f>M42+N42</f>
        <v>42550</v>
      </c>
      <c r="P42" s="160" t="s">
        <v>88</v>
      </c>
      <c r="Q42" s="25" t="s">
        <v>607</v>
      </c>
      <c r="R42" s="11" t="s">
        <v>89</v>
      </c>
      <c r="S42" s="166" t="s">
        <v>330</v>
      </c>
      <c r="T42" s="166" t="s">
        <v>610</v>
      </c>
      <c r="U42" s="166" t="s">
        <v>606</v>
      </c>
      <c r="V42" s="127"/>
      <c r="W42" s="127"/>
      <c r="X42" s="127"/>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s="4" customFormat="1" ht="199.5" customHeight="1" x14ac:dyDescent="0.2">
      <c r="A43" s="21">
        <f t="shared" si="0"/>
        <v>37</v>
      </c>
      <c r="B43" s="10" t="s">
        <v>91</v>
      </c>
      <c r="C43" s="184">
        <v>31202</v>
      </c>
      <c r="D43" s="23" t="s">
        <v>211</v>
      </c>
      <c r="E43" s="29">
        <v>312020901</v>
      </c>
      <c r="F43" s="210" t="s">
        <v>95</v>
      </c>
      <c r="G43" s="160" t="s">
        <v>81</v>
      </c>
      <c r="H43" s="161" t="s">
        <v>28</v>
      </c>
      <c r="I43" s="26">
        <v>200000000</v>
      </c>
      <c r="J43" s="26"/>
      <c r="K43" s="422">
        <v>42480</v>
      </c>
      <c r="L43" s="422">
        <f>K43+60</f>
        <v>42540</v>
      </c>
      <c r="M43" s="422">
        <f>L43+5</f>
        <v>42545</v>
      </c>
      <c r="N43" s="409">
        <v>60</v>
      </c>
      <c r="O43" s="422">
        <f>M43+N43</f>
        <v>42605</v>
      </c>
      <c r="P43" s="160" t="s">
        <v>93</v>
      </c>
      <c r="Q43" s="408" t="s">
        <v>626</v>
      </c>
      <c r="R43" s="11" t="s">
        <v>94</v>
      </c>
      <c r="S43" s="166" t="s">
        <v>342</v>
      </c>
      <c r="T43" s="166" t="s">
        <v>639</v>
      </c>
      <c r="U43" s="166" t="s">
        <v>640</v>
      </c>
      <c r="V43" s="127"/>
      <c r="W43" s="127"/>
      <c r="X43" s="127"/>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4" customFormat="1" ht="197.25" customHeight="1" x14ac:dyDescent="0.2">
      <c r="A44" s="21">
        <f t="shared" si="0"/>
        <v>38</v>
      </c>
      <c r="B44" s="10" t="s">
        <v>91</v>
      </c>
      <c r="C44" s="184">
        <v>31202</v>
      </c>
      <c r="D44" s="23" t="s">
        <v>211</v>
      </c>
      <c r="E44" s="29">
        <v>312020901</v>
      </c>
      <c r="F44" s="210" t="s">
        <v>95</v>
      </c>
      <c r="G44" s="160" t="s">
        <v>629</v>
      </c>
      <c r="H44" s="167" t="s">
        <v>616</v>
      </c>
      <c r="I44" s="26">
        <v>76250000</v>
      </c>
      <c r="J44" s="26"/>
      <c r="K44" s="422">
        <v>42475</v>
      </c>
      <c r="L44" s="422">
        <f>K44+60</f>
        <v>42535</v>
      </c>
      <c r="M44" s="422">
        <f>L44+5</f>
        <v>42540</v>
      </c>
      <c r="N44" s="409">
        <v>30</v>
      </c>
      <c r="O44" s="422">
        <f>M44+N44</f>
        <v>42570</v>
      </c>
      <c r="P44" s="9" t="s">
        <v>93</v>
      </c>
      <c r="Q44" s="408" t="s">
        <v>636</v>
      </c>
      <c r="R44" s="165" t="s">
        <v>615</v>
      </c>
      <c r="S44" s="166" t="s">
        <v>342</v>
      </c>
      <c r="T44" s="336" t="s">
        <v>818</v>
      </c>
      <c r="U44" s="166" t="s">
        <v>302</v>
      </c>
      <c r="V44" s="127"/>
      <c r="W44" s="127"/>
      <c r="X44" s="127"/>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s="4" customFormat="1" ht="117" customHeight="1" x14ac:dyDescent="0.2">
      <c r="A45" s="21">
        <f t="shared" si="0"/>
        <v>39</v>
      </c>
      <c r="B45" s="161" t="s">
        <v>96</v>
      </c>
      <c r="C45" s="162" t="s">
        <v>143</v>
      </c>
      <c r="D45" s="23" t="s">
        <v>105</v>
      </c>
      <c r="E45" s="163">
        <v>311020301</v>
      </c>
      <c r="F45" s="24" t="s">
        <v>80</v>
      </c>
      <c r="G45" s="14" t="s">
        <v>81</v>
      </c>
      <c r="H45" s="10" t="s">
        <v>218</v>
      </c>
      <c r="I45" s="288">
        <v>6781360</v>
      </c>
      <c r="J45" s="288">
        <v>6781360</v>
      </c>
      <c r="K45" s="423">
        <v>42387</v>
      </c>
      <c r="L45" s="423">
        <v>42417</v>
      </c>
      <c r="M45" s="423">
        <v>42457</v>
      </c>
      <c r="N45" s="21" t="s">
        <v>509</v>
      </c>
      <c r="O45" s="423">
        <v>42460</v>
      </c>
      <c r="P45" s="182" t="s">
        <v>510</v>
      </c>
      <c r="Q45" s="25" t="s">
        <v>507</v>
      </c>
      <c r="R45" s="165" t="s">
        <v>339</v>
      </c>
      <c r="S45" s="166" t="s">
        <v>338</v>
      </c>
      <c r="T45" s="336" t="s">
        <v>508</v>
      </c>
      <c r="U45" s="166" t="s">
        <v>310</v>
      </c>
      <c r="V45" s="127"/>
      <c r="W45" s="166" t="s">
        <v>506</v>
      </c>
      <c r="X45" s="127"/>
      <c r="Y45" s="3"/>
      <c r="Z45" s="3"/>
      <c r="AA45" s="468"/>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row>
    <row r="46" spans="1:240" s="595" customFormat="1" ht="189" customHeight="1" x14ac:dyDescent="0.2">
      <c r="A46" s="21">
        <f t="shared" si="0"/>
        <v>40</v>
      </c>
      <c r="B46" s="481" t="s">
        <v>97</v>
      </c>
      <c r="C46" s="577">
        <v>33</v>
      </c>
      <c r="D46" s="481" t="s">
        <v>24</v>
      </c>
      <c r="E46" s="588" t="s">
        <v>98</v>
      </c>
      <c r="F46" s="527" t="s">
        <v>99</v>
      </c>
      <c r="G46" s="588" t="s">
        <v>586</v>
      </c>
      <c r="H46" s="577" t="s">
        <v>63</v>
      </c>
      <c r="I46" s="517">
        <v>221000000</v>
      </c>
      <c r="J46" s="517">
        <v>220024160</v>
      </c>
      <c r="K46" s="520">
        <v>42459</v>
      </c>
      <c r="L46" s="596">
        <v>42493</v>
      </c>
      <c r="M46" s="596">
        <v>42500</v>
      </c>
      <c r="N46" s="541">
        <v>90</v>
      </c>
      <c r="O46" s="596">
        <v>42591</v>
      </c>
      <c r="P46" s="600">
        <v>81112502</v>
      </c>
      <c r="Q46" s="601" t="s">
        <v>585</v>
      </c>
      <c r="R46" s="602" t="s">
        <v>837</v>
      </c>
      <c r="S46" s="591" t="s">
        <v>340</v>
      </c>
      <c r="T46" s="482" t="s">
        <v>838</v>
      </c>
      <c r="U46" s="547" t="s">
        <v>310</v>
      </c>
      <c r="V46" s="593"/>
      <c r="W46" s="601"/>
      <c r="X46" s="593"/>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c r="DJ46" s="594"/>
      <c r="DK46" s="594"/>
      <c r="DL46" s="594"/>
      <c r="DM46" s="594"/>
      <c r="DN46" s="594"/>
      <c r="DO46" s="594"/>
      <c r="DP46" s="594"/>
      <c r="DQ46" s="594"/>
      <c r="DR46" s="594"/>
      <c r="DS46" s="594"/>
      <c r="DT46" s="594"/>
      <c r="DU46" s="594"/>
      <c r="DV46" s="594"/>
      <c r="DW46" s="594"/>
      <c r="DX46" s="594"/>
      <c r="DY46" s="594"/>
      <c r="DZ46" s="594"/>
      <c r="EA46" s="594"/>
      <c r="EB46" s="594"/>
      <c r="EC46" s="594"/>
      <c r="ED46" s="594"/>
      <c r="EE46" s="594"/>
      <c r="EF46" s="594"/>
      <c r="EG46" s="594"/>
      <c r="EH46" s="594"/>
      <c r="EI46" s="594"/>
      <c r="EJ46" s="594"/>
      <c r="EK46" s="594"/>
      <c r="EL46" s="594"/>
      <c r="EM46" s="594"/>
      <c r="EN46" s="594"/>
      <c r="EO46" s="594"/>
      <c r="EP46" s="594"/>
      <c r="EQ46" s="594"/>
      <c r="ER46" s="594"/>
      <c r="ES46" s="594"/>
      <c r="ET46" s="594"/>
      <c r="EU46" s="594"/>
      <c r="EV46" s="594"/>
      <c r="EW46" s="594"/>
      <c r="EX46" s="594"/>
      <c r="EY46" s="594"/>
      <c r="EZ46" s="594"/>
      <c r="FA46" s="594"/>
      <c r="FB46" s="594"/>
      <c r="FC46" s="594"/>
      <c r="FD46" s="594"/>
      <c r="FE46" s="594"/>
      <c r="FF46" s="594"/>
      <c r="FG46" s="594"/>
      <c r="FH46" s="594"/>
      <c r="FI46" s="594"/>
      <c r="FJ46" s="594"/>
      <c r="FK46" s="594"/>
      <c r="FL46" s="594"/>
      <c r="FM46" s="594"/>
      <c r="FN46" s="594"/>
      <c r="FO46" s="594"/>
      <c r="FP46" s="594"/>
      <c r="FQ46" s="594"/>
      <c r="FR46" s="594"/>
      <c r="FS46" s="594"/>
      <c r="FT46" s="594"/>
      <c r="FU46" s="594"/>
      <c r="FV46" s="594"/>
      <c r="FW46" s="594"/>
      <c r="FX46" s="594"/>
      <c r="FY46" s="594"/>
      <c r="FZ46" s="594"/>
      <c r="GA46" s="594"/>
      <c r="GB46" s="594"/>
      <c r="GC46" s="594"/>
      <c r="GD46" s="594"/>
      <c r="GE46" s="594"/>
      <c r="GF46" s="594"/>
      <c r="GG46" s="594"/>
      <c r="GH46" s="594"/>
      <c r="GI46" s="594"/>
      <c r="GJ46" s="594"/>
      <c r="GK46" s="594"/>
      <c r="GL46" s="594"/>
      <c r="GM46" s="594"/>
      <c r="GN46" s="594"/>
      <c r="GO46" s="594"/>
      <c r="GP46" s="594"/>
      <c r="GQ46" s="594"/>
      <c r="GR46" s="594"/>
      <c r="GS46" s="594"/>
      <c r="GT46" s="594"/>
      <c r="GU46" s="594"/>
      <c r="GV46" s="594"/>
      <c r="GW46" s="594"/>
      <c r="GX46" s="594"/>
      <c r="GY46" s="594"/>
      <c r="GZ46" s="594"/>
      <c r="HA46" s="594"/>
      <c r="HB46" s="594"/>
      <c r="HC46" s="594"/>
      <c r="HD46" s="594"/>
      <c r="HE46" s="594"/>
      <c r="HF46" s="594"/>
      <c r="HG46" s="594"/>
      <c r="HH46" s="594"/>
      <c r="HI46" s="594"/>
      <c r="HJ46" s="594"/>
      <c r="HK46" s="594"/>
      <c r="HL46" s="594"/>
      <c r="HM46" s="594"/>
      <c r="HN46" s="594"/>
      <c r="HO46" s="594"/>
      <c r="HP46" s="594"/>
      <c r="HQ46" s="594"/>
      <c r="HR46" s="594"/>
      <c r="HS46" s="594"/>
      <c r="HT46" s="594"/>
      <c r="HU46" s="594"/>
      <c r="HV46" s="594"/>
      <c r="HW46" s="594"/>
      <c r="HX46" s="594"/>
      <c r="HY46" s="594"/>
      <c r="HZ46" s="594"/>
      <c r="IA46" s="594"/>
      <c r="IB46" s="594"/>
      <c r="IC46" s="594"/>
      <c r="ID46" s="594"/>
      <c r="IE46" s="594"/>
      <c r="IF46" s="594"/>
    </row>
    <row r="47" spans="1:240" s="595" customFormat="1" ht="186.75" customHeight="1" x14ac:dyDescent="0.2">
      <c r="A47" s="21">
        <f t="shared" si="0"/>
        <v>41</v>
      </c>
      <c r="B47" s="481" t="s">
        <v>97</v>
      </c>
      <c r="C47" s="577">
        <v>33</v>
      </c>
      <c r="D47" s="481" t="s">
        <v>24</v>
      </c>
      <c r="E47" s="588" t="s">
        <v>98</v>
      </c>
      <c r="F47" s="527" t="s">
        <v>99</v>
      </c>
      <c r="G47" s="588" t="s">
        <v>81</v>
      </c>
      <c r="H47" s="577" t="s">
        <v>28</v>
      </c>
      <c r="I47" s="517">
        <v>429565801</v>
      </c>
      <c r="J47" s="517">
        <v>429565801</v>
      </c>
      <c r="K47" s="520">
        <v>42506</v>
      </c>
      <c r="L47" s="596">
        <v>42521</v>
      </c>
      <c r="M47" s="596">
        <v>42526</v>
      </c>
      <c r="N47" s="541">
        <v>210</v>
      </c>
      <c r="O47" s="596">
        <v>42734</v>
      </c>
      <c r="P47" s="611" t="s">
        <v>100</v>
      </c>
      <c r="Q47" s="481" t="s">
        <v>252</v>
      </c>
      <c r="R47" s="612" t="s">
        <v>713</v>
      </c>
      <c r="S47" s="591" t="s">
        <v>340</v>
      </c>
      <c r="T47" s="482" t="s">
        <v>810</v>
      </c>
      <c r="U47" s="547" t="s">
        <v>310</v>
      </c>
      <c r="V47" s="593"/>
      <c r="W47" s="593"/>
      <c r="X47" s="593"/>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c r="DJ47" s="594"/>
      <c r="DK47" s="594"/>
      <c r="DL47" s="594"/>
      <c r="DM47" s="594"/>
      <c r="DN47" s="594"/>
      <c r="DO47" s="594"/>
      <c r="DP47" s="594"/>
      <c r="DQ47" s="594"/>
      <c r="DR47" s="594"/>
      <c r="DS47" s="594"/>
      <c r="DT47" s="594"/>
      <c r="DU47" s="594"/>
      <c r="DV47" s="594"/>
      <c r="DW47" s="594"/>
      <c r="DX47" s="594"/>
      <c r="DY47" s="594"/>
      <c r="DZ47" s="594"/>
      <c r="EA47" s="594"/>
      <c r="EB47" s="594"/>
      <c r="EC47" s="594"/>
      <c r="ED47" s="594"/>
      <c r="EE47" s="594"/>
      <c r="EF47" s="594"/>
      <c r="EG47" s="594"/>
      <c r="EH47" s="594"/>
      <c r="EI47" s="594"/>
      <c r="EJ47" s="594"/>
      <c r="EK47" s="594"/>
      <c r="EL47" s="594"/>
      <c r="EM47" s="594"/>
      <c r="EN47" s="594"/>
      <c r="EO47" s="594"/>
      <c r="EP47" s="594"/>
      <c r="EQ47" s="594"/>
      <c r="ER47" s="594"/>
      <c r="ES47" s="594"/>
      <c r="ET47" s="594"/>
      <c r="EU47" s="594"/>
      <c r="EV47" s="594"/>
      <c r="EW47" s="594"/>
      <c r="EX47" s="594"/>
      <c r="EY47" s="594"/>
      <c r="EZ47" s="594"/>
      <c r="FA47" s="594"/>
      <c r="FB47" s="594"/>
      <c r="FC47" s="594"/>
      <c r="FD47" s="594"/>
      <c r="FE47" s="594"/>
      <c r="FF47" s="594"/>
      <c r="FG47" s="594"/>
      <c r="FH47" s="594"/>
      <c r="FI47" s="594"/>
      <c r="FJ47" s="594"/>
      <c r="FK47" s="594"/>
      <c r="FL47" s="594"/>
      <c r="FM47" s="594"/>
      <c r="FN47" s="594"/>
      <c r="FO47" s="594"/>
      <c r="FP47" s="594"/>
      <c r="FQ47" s="594"/>
      <c r="FR47" s="594"/>
      <c r="FS47" s="594"/>
      <c r="FT47" s="594"/>
      <c r="FU47" s="594"/>
      <c r="FV47" s="594"/>
      <c r="FW47" s="594"/>
      <c r="FX47" s="594"/>
      <c r="FY47" s="594"/>
      <c r="FZ47" s="594"/>
      <c r="GA47" s="594"/>
      <c r="GB47" s="594"/>
      <c r="GC47" s="594"/>
      <c r="GD47" s="594"/>
      <c r="GE47" s="594"/>
      <c r="GF47" s="594"/>
      <c r="GG47" s="594"/>
      <c r="GH47" s="594"/>
      <c r="GI47" s="594"/>
      <c r="GJ47" s="594"/>
      <c r="GK47" s="594"/>
      <c r="GL47" s="594"/>
      <c r="GM47" s="594"/>
      <c r="GN47" s="594"/>
      <c r="GO47" s="594"/>
      <c r="GP47" s="594"/>
      <c r="GQ47" s="594"/>
      <c r="GR47" s="594"/>
      <c r="GS47" s="594"/>
      <c r="GT47" s="594"/>
      <c r="GU47" s="594"/>
      <c r="GV47" s="594"/>
      <c r="GW47" s="594"/>
      <c r="GX47" s="594"/>
      <c r="GY47" s="594"/>
      <c r="GZ47" s="594"/>
      <c r="HA47" s="594"/>
      <c r="HB47" s="594"/>
      <c r="HC47" s="594"/>
      <c r="HD47" s="594"/>
      <c r="HE47" s="594"/>
      <c r="HF47" s="594"/>
      <c r="HG47" s="594"/>
      <c r="HH47" s="594"/>
      <c r="HI47" s="594"/>
      <c r="HJ47" s="594"/>
      <c r="HK47" s="594"/>
      <c r="HL47" s="594"/>
      <c r="HM47" s="594"/>
      <c r="HN47" s="594"/>
      <c r="HO47" s="594"/>
      <c r="HP47" s="594"/>
      <c r="HQ47" s="594"/>
      <c r="HR47" s="594"/>
      <c r="HS47" s="594"/>
      <c r="HT47" s="594"/>
      <c r="HU47" s="594"/>
      <c r="HV47" s="594"/>
      <c r="HW47" s="594"/>
      <c r="HX47" s="594"/>
      <c r="HY47" s="594"/>
      <c r="HZ47" s="594"/>
      <c r="IA47" s="594"/>
      <c r="IB47" s="594"/>
      <c r="IC47" s="594"/>
      <c r="ID47" s="594"/>
      <c r="IE47" s="594"/>
      <c r="IF47" s="594"/>
    </row>
    <row r="48" spans="1:240" s="191" customFormat="1" ht="286.5" customHeight="1" x14ac:dyDescent="0.2">
      <c r="A48" s="21">
        <f t="shared" si="0"/>
        <v>42</v>
      </c>
      <c r="B48" s="10" t="s">
        <v>97</v>
      </c>
      <c r="C48" s="184">
        <v>33</v>
      </c>
      <c r="D48" s="10" t="s">
        <v>24</v>
      </c>
      <c r="E48" s="173" t="s">
        <v>98</v>
      </c>
      <c r="F48" s="9" t="s">
        <v>99</v>
      </c>
      <c r="G48" s="173" t="s">
        <v>81</v>
      </c>
      <c r="H48" s="184" t="s">
        <v>28</v>
      </c>
      <c r="I48" s="26">
        <f>198000000-40800000-40800000-40800000-42000000</f>
        <v>33600000</v>
      </c>
      <c r="J48" s="26"/>
      <c r="K48" s="5">
        <v>42490</v>
      </c>
      <c r="L48" s="451">
        <v>42520</v>
      </c>
      <c r="M48" s="451">
        <v>42525</v>
      </c>
      <c r="N48" s="6">
        <v>180</v>
      </c>
      <c r="O48" s="451">
        <v>42825</v>
      </c>
      <c r="P48" s="192" t="s">
        <v>101</v>
      </c>
      <c r="Q48" s="481" t="s">
        <v>648</v>
      </c>
      <c r="R48" s="193" t="s">
        <v>715</v>
      </c>
      <c r="S48" s="220" t="s">
        <v>340</v>
      </c>
      <c r="T48" s="482" t="s">
        <v>721</v>
      </c>
      <c r="U48" s="220" t="s">
        <v>302</v>
      </c>
      <c r="V48" s="455"/>
      <c r="W48" s="457"/>
      <c r="X48" s="457"/>
      <c r="Y48" s="457"/>
      <c r="Z48" s="458"/>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456"/>
      <c r="BU48" s="456"/>
      <c r="BV48" s="456"/>
      <c r="BW48" s="456"/>
      <c r="BX48" s="456"/>
      <c r="BY48" s="456"/>
      <c r="BZ48" s="456"/>
      <c r="CA48" s="456"/>
      <c r="CB48" s="456"/>
      <c r="CC48" s="456"/>
      <c r="CD48" s="456"/>
      <c r="CE48" s="456"/>
      <c r="CF48" s="456"/>
      <c r="CG48" s="456"/>
      <c r="CH48" s="456"/>
      <c r="CI48" s="456"/>
      <c r="CJ48" s="456"/>
      <c r="CK48" s="456"/>
      <c r="CL48" s="456"/>
      <c r="CM48" s="456"/>
      <c r="CN48" s="456"/>
      <c r="CO48" s="456"/>
      <c r="CP48" s="456"/>
      <c r="CQ48" s="456"/>
      <c r="CR48" s="456"/>
      <c r="CS48" s="456"/>
      <c r="CT48" s="456"/>
      <c r="CU48" s="456"/>
      <c r="CV48" s="456"/>
      <c r="CW48" s="456"/>
      <c r="CX48" s="456"/>
      <c r="CY48" s="456"/>
      <c r="CZ48" s="456"/>
      <c r="DA48" s="456"/>
      <c r="DB48" s="456"/>
      <c r="DC48" s="456"/>
      <c r="DD48" s="456"/>
      <c r="DE48" s="456"/>
      <c r="DF48" s="456"/>
      <c r="DG48" s="456"/>
      <c r="DH48" s="456"/>
      <c r="DI48" s="456"/>
      <c r="DJ48" s="456"/>
      <c r="DK48" s="456"/>
      <c r="DL48" s="456"/>
      <c r="DM48" s="456"/>
      <c r="DN48" s="456"/>
      <c r="DO48" s="456"/>
      <c r="DP48" s="456"/>
      <c r="DQ48" s="456"/>
      <c r="DR48" s="456"/>
      <c r="DS48" s="456"/>
      <c r="DT48" s="456"/>
      <c r="DU48" s="456"/>
      <c r="DV48" s="456"/>
      <c r="DW48" s="456"/>
      <c r="DX48" s="456"/>
      <c r="DY48" s="456"/>
      <c r="DZ48" s="456"/>
      <c r="EA48" s="456"/>
      <c r="EB48" s="456"/>
      <c r="EC48" s="456"/>
      <c r="ED48" s="456"/>
      <c r="EE48" s="456"/>
      <c r="EF48" s="456"/>
      <c r="EG48" s="456"/>
      <c r="EH48" s="456"/>
      <c r="EI48" s="456"/>
      <c r="EJ48" s="456"/>
      <c r="EK48" s="456"/>
      <c r="EL48" s="456"/>
      <c r="EM48" s="456"/>
      <c r="EN48" s="456"/>
      <c r="EO48" s="456"/>
      <c r="EP48" s="456"/>
      <c r="EQ48" s="456"/>
      <c r="ER48" s="456"/>
      <c r="ES48" s="456"/>
      <c r="ET48" s="456"/>
      <c r="EU48" s="456"/>
      <c r="EV48" s="456"/>
      <c r="EW48" s="456"/>
      <c r="EX48" s="456"/>
      <c r="EY48" s="456"/>
      <c r="EZ48" s="456"/>
      <c r="FA48" s="456"/>
      <c r="FB48" s="456"/>
      <c r="FC48" s="456"/>
      <c r="FD48" s="456"/>
      <c r="FE48" s="456"/>
      <c r="FF48" s="456"/>
      <c r="FG48" s="456"/>
      <c r="FH48" s="456"/>
      <c r="FI48" s="456"/>
      <c r="FJ48" s="456"/>
      <c r="FK48" s="456"/>
      <c r="FL48" s="456"/>
      <c r="FM48" s="456"/>
      <c r="FN48" s="456"/>
      <c r="FO48" s="456"/>
      <c r="FP48" s="456"/>
      <c r="FQ48" s="456"/>
      <c r="FR48" s="456"/>
      <c r="FS48" s="456"/>
      <c r="FT48" s="456"/>
      <c r="FU48" s="456"/>
      <c r="FV48" s="456"/>
      <c r="FW48" s="456"/>
      <c r="FX48" s="456"/>
      <c r="FY48" s="456"/>
      <c r="FZ48" s="456"/>
      <c r="GA48" s="456"/>
      <c r="GB48" s="456"/>
      <c r="GC48" s="456"/>
      <c r="GD48" s="456"/>
      <c r="GE48" s="456"/>
      <c r="GF48" s="456"/>
      <c r="GG48" s="456"/>
      <c r="GH48" s="456"/>
      <c r="GI48" s="456"/>
      <c r="GJ48" s="456"/>
      <c r="GK48" s="456"/>
      <c r="GL48" s="456"/>
      <c r="GM48" s="456"/>
      <c r="GN48" s="456"/>
      <c r="GO48" s="456"/>
      <c r="GP48" s="456"/>
      <c r="GQ48" s="456"/>
      <c r="GR48" s="456"/>
      <c r="GS48" s="456"/>
      <c r="GT48" s="456"/>
      <c r="GU48" s="456"/>
      <c r="GV48" s="456"/>
      <c r="GW48" s="456"/>
      <c r="GX48" s="456"/>
      <c r="GY48" s="456"/>
      <c r="GZ48" s="456"/>
      <c r="HA48" s="456"/>
      <c r="HB48" s="456"/>
      <c r="HC48" s="456"/>
      <c r="HD48" s="456"/>
      <c r="HE48" s="456"/>
      <c r="HF48" s="456"/>
      <c r="HG48" s="456"/>
      <c r="HH48" s="456"/>
      <c r="HI48" s="456"/>
      <c r="HJ48" s="456"/>
      <c r="HK48" s="456"/>
      <c r="HL48" s="456"/>
      <c r="HM48" s="456"/>
      <c r="HN48" s="456"/>
      <c r="HO48" s="456"/>
      <c r="HP48" s="456"/>
      <c r="HQ48" s="456"/>
      <c r="HR48" s="456"/>
      <c r="HS48" s="456"/>
      <c r="HT48" s="456"/>
      <c r="HU48" s="456"/>
      <c r="HV48" s="456"/>
      <c r="HW48" s="456"/>
      <c r="HX48" s="456"/>
      <c r="HY48" s="456"/>
      <c r="HZ48" s="456"/>
      <c r="IA48" s="456"/>
      <c r="IB48" s="456"/>
      <c r="IC48" s="456"/>
      <c r="ID48" s="456"/>
      <c r="IE48" s="456"/>
      <c r="IF48" s="456"/>
    </row>
    <row r="49" spans="1:240" s="595" customFormat="1" ht="153.75" customHeight="1" x14ac:dyDescent="0.2">
      <c r="A49" s="21">
        <f t="shared" si="0"/>
        <v>43</v>
      </c>
      <c r="B49" s="481" t="s">
        <v>97</v>
      </c>
      <c r="C49" s="577">
        <v>33</v>
      </c>
      <c r="D49" s="481" t="s">
        <v>24</v>
      </c>
      <c r="E49" s="588" t="s">
        <v>98</v>
      </c>
      <c r="F49" s="527" t="s">
        <v>99</v>
      </c>
      <c r="G49" s="588" t="s">
        <v>81</v>
      </c>
      <c r="H49" s="577" t="s">
        <v>28</v>
      </c>
      <c r="I49" s="517">
        <f>6800000*6</f>
        <v>40800000</v>
      </c>
      <c r="J49" s="517">
        <v>40800000</v>
      </c>
      <c r="K49" s="520">
        <v>42506</v>
      </c>
      <c r="L49" s="596">
        <v>42514</v>
      </c>
      <c r="M49" s="596">
        <v>42531</v>
      </c>
      <c r="N49" s="541">
        <v>180</v>
      </c>
      <c r="O49" s="596">
        <v>42713</v>
      </c>
      <c r="P49" s="611" t="s">
        <v>718</v>
      </c>
      <c r="Q49" s="481" t="s">
        <v>716</v>
      </c>
      <c r="R49" s="612" t="s">
        <v>717</v>
      </c>
      <c r="S49" s="591" t="s">
        <v>340</v>
      </c>
      <c r="T49" s="482" t="s">
        <v>850</v>
      </c>
      <c r="U49" s="591" t="s">
        <v>310</v>
      </c>
      <c r="V49" s="593"/>
      <c r="W49" s="613"/>
      <c r="X49" s="613"/>
      <c r="Y49" s="613"/>
      <c r="Z49" s="61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4"/>
      <c r="AY49" s="594"/>
      <c r="AZ49" s="594"/>
      <c r="BA49" s="594"/>
      <c r="BB49" s="594"/>
      <c r="BC49" s="594"/>
      <c r="BD49" s="594"/>
      <c r="BE49" s="594"/>
      <c r="BF49" s="594"/>
      <c r="BG49" s="594"/>
      <c r="BH49" s="594"/>
      <c r="BI49" s="594"/>
      <c r="BJ49" s="594"/>
      <c r="BK49" s="594"/>
      <c r="BL49" s="594"/>
      <c r="BM49" s="594"/>
      <c r="BN49" s="594"/>
      <c r="BO49" s="594"/>
      <c r="BP49" s="594"/>
      <c r="BQ49" s="594"/>
      <c r="BR49" s="594"/>
      <c r="BS49" s="594"/>
      <c r="BT49" s="594"/>
      <c r="BU49" s="594"/>
      <c r="BV49" s="594"/>
      <c r="BW49" s="594"/>
      <c r="BX49" s="594"/>
      <c r="BY49" s="594"/>
      <c r="BZ49" s="594"/>
      <c r="CA49" s="594"/>
      <c r="CB49" s="594"/>
      <c r="CC49" s="594"/>
      <c r="CD49" s="594"/>
      <c r="CE49" s="594"/>
      <c r="CF49" s="594"/>
      <c r="CG49" s="594"/>
      <c r="CH49" s="594"/>
      <c r="CI49" s="594"/>
      <c r="CJ49" s="594"/>
      <c r="CK49" s="594"/>
      <c r="CL49" s="594"/>
      <c r="CM49" s="594"/>
      <c r="CN49" s="594"/>
      <c r="CO49" s="594"/>
      <c r="CP49" s="594"/>
      <c r="CQ49" s="594"/>
      <c r="CR49" s="594"/>
      <c r="CS49" s="594"/>
      <c r="CT49" s="594"/>
      <c r="CU49" s="594"/>
      <c r="CV49" s="594"/>
      <c r="CW49" s="594"/>
      <c r="CX49" s="594"/>
      <c r="CY49" s="594"/>
      <c r="CZ49" s="594"/>
      <c r="DA49" s="594"/>
      <c r="DB49" s="594"/>
      <c r="DC49" s="594"/>
      <c r="DD49" s="594"/>
      <c r="DE49" s="594"/>
      <c r="DF49" s="594"/>
      <c r="DG49" s="594"/>
      <c r="DH49" s="594"/>
      <c r="DI49" s="594"/>
      <c r="DJ49" s="594"/>
      <c r="DK49" s="594"/>
      <c r="DL49" s="594"/>
      <c r="DM49" s="594"/>
      <c r="DN49" s="594"/>
      <c r="DO49" s="594"/>
      <c r="DP49" s="594"/>
      <c r="DQ49" s="594"/>
      <c r="DR49" s="594"/>
      <c r="DS49" s="594"/>
      <c r="DT49" s="594"/>
      <c r="DU49" s="594"/>
      <c r="DV49" s="594"/>
      <c r="DW49" s="594"/>
      <c r="DX49" s="594"/>
      <c r="DY49" s="594"/>
      <c r="DZ49" s="594"/>
      <c r="EA49" s="594"/>
      <c r="EB49" s="594"/>
      <c r="EC49" s="594"/>
      <c r="ED49" s="594"/>
      <c r="EE49" s="594"/>
      <c r="EF49" s="594"/>
      <c r="EG49" s="594"/>
      <c r="EH49" s="594"/>
      <c r="EI49" s="594"/>
      <c r="EJ49" s="594"/>
      <c r="EK49" s="594"/>
      <c r="EL49" s="594"/>
      <c r="EM49" s="594"/>
      <c r="EN49" s="594"/>
      <c r="EO49" s="594"/>
      <c r="EP49" s="594"/>
      <c r="EQ49" s="594"/>
      <c r="ER49" s="594"/>
      <c r="ES49" s="594"/>
      <c r="ET49" s="594"/>
      <c r="EU49" s="594"/>
      <c r="EV49" s="594"/>
      <c r="EW49" s="594"/>
      <c r="EX49" s="594"/>
      <c r="EY49" s="594"/>
      <c r="EZ49" s="594"/>
      <c r="FA49" s="594"/>
      <c r="FB49" s="594"/>
      <c r="FC49" s="594"/>
      <c r="FD49" s="594"/>
      <c r="FE49" s="594"/>
      <c r="FF49" s="594"/>
      <c r="FG49" s="594"/>
      <c r="FH49" s="594"/>
      <c r="FI49" s="594"/>
      <c r="FJ49" s="594"/>
      <c r="FK49" s="594"/>
      <c r="FL49" s="594"/>
      <c r="FM49" s="594"/>
      <c r="FN49" s="594"/>
      <c r="FO49" s="594"/>
      <c r="FP49" s="594"/>
      <c r="FQ49" s="594"/>
      <c r="FR49" s="594"/>
      <c r="FS49" s="594"/>
      <c r="FT49" s="594"/>
      <c r="FU49" s="594"/>
      <c r="FV49" s="594"/>
      <c r="FW49" s="594"/>
      <c r="FX49" s="594"/>
      <c r="FY49" s="594"/>
      <c r="FZ49" s="594"/>
      <c r="GA49" s="594"/>
      <c r="GB49" s="594"/>
      <c r="GC49" s="594"/>
      <c r="GD49" s="594"/>
      <c r="GE49" s="594"/>
      <c r="GF49" s="594"/>
      <c r="GG49" s="594"/>
      <c r="GH49" s="594"/>
      <c r="GI49" s="594"/>
      <c r="GJ49" s="594"/>
      <c r="GK49" s="594"/>
      <c r="GL49" s="594"/>
      <c r="GM49" s="594"/>
      <c r="GN49" s="594"/>
      <c r="GO49" s="594"/>
      <c r="GP49" s="594"/>
      <c r="GQ49" s="594"/>
      <c r="GR49" s="594"/>
      <c r="GS49" s="594"/>
      <c r="GT49" s="594"/>
      <c r="GU49" s="594"/>
      <c r="GV49" s="594"/>
      <c r="GW49" s="594"/>
      <c r="GX49" s="594"/>
      <c r="GY49" s="594"/>
      <c r="GZ49" s="594"/>
      <c r="HA49" s="594"/>
      <c r="HB49" s="594"/>
      <c r="HC49" s="594"/>
      <c r="HD49" s="594"/>
      <c r="HE49" s="594"/>
      <c r="HF49" s="594"/>
      <c r="HG49" s="594"/>
      <c r="HH49" s="594"/>
      <c r="HI49" s="594"/>
      <c r="HJ49" s="594"/>
      <c r="HK49" s="594"/>
      <c r="HL49" s="594"/>
      <c r="HM49" s="594"/>
      <c r="HN49" s="594"/>
      <c r="HO49" s="594"/>
      <c r="HP49" s="594"/>
      <c r="HQ49" s="594"/>
      <c r="HR49" s="594"/>
      <c r="HS49" s="594"/>
      <c r="HT49" s="594"/>
      <c r="HU49" s="594"/>
      <c r="HV49" s="594"/>
      <c r="HW49" s="594"/>
      <c r="HX49" s="594"/>
      <c r="HY49" s="594"/>
      <c r="HZ49" s="594"/>
      <c r="IA49" s="594"/>
      <c r="IB49" s="594"/>
      <c r="IC49" s="594"/>
      <c r="ID49" s="594"/>
      <c r="IE49" s="594"/>
      <c r="IF49" s="594"/>
    </row>
    <row r="50" spans="1:240" s="595" customFormat="1" ht="146.25" customHeight="1" x14ac:dyDescent="0.2">
      <c r="A50" s="21">
        <f t="shared" si="0"/>
        <v>44</v>
      </c>
      <c r="B50" s="481" t="s">
        <v>97</v>
      </c>
      <c r="C50" s="577">
        <v>33</v>
      </c>
      <c r="D50" s="481" t="s">
        <v>24</v>
      </c>
      <c r="E50" s="588" t="s">
        <v>98</v>
      </c>
      <c r="F50" s="527" t="s">
        <v>99</v>
      </c>
      <c r="G50" s="588" t="s">
        <v>81</v>
      </c>
      <c r="H50" s="577" t="s">
        <v>28</v>
      </c>
      <c r="I50" s="517">
        <v>42000000</v>
      </c>
      <c r="J50" s="517">
        <v>42000000</v>
      </c>
      <c r="K50" s="520">
        <v>42506</v>
      </c>
      <c r="L50" s="596">
        <v>42521</v>
      </c>
      <c r="M50" s="596">
        <f>L50+5</f>
        <v>42526</v>
      </c>
      <c r="N50" s="541">
        <v>180</v>
      </c>
      <c r="O50" s="596">
        <f>+M50+N50</f>
        <v>42706</v>
      </c>
      <c r="P50" s="611" t="s">
        <v>718</v>
      </c>
      <c r="Q50" s="481" t="s">
        <v>719</v>
      </c>
      <c r="R50" s="612" t="s">
        <v>720</v>
      </c>
      <c r="S50" s="591" t="s">
        <v>340</v>
      </c>
      <c r="T50" s="482" t="s">
        <v>851</v>
      </c>
      <c r="U50" s="591" t="s">
        <v>310</v>
      </c>
      <c r="V50" s="593"/>
      <c r="W50" s="613"/>
      <c r="X50" s="613"/>
      <c r="Y50" s="613"/>
      <c r="Z50" s="61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4"/>
      <c r="BZ50" s="594"/>
      <c r="CA50" s="594"/>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c r="DJ50" s="594"/>
      <c r="DK50" s="594"/>
      <c r="DL50" s="594"/>
      <c r="DM50" s="594"/>
      <c r="DN50" s="594"/>
      <c r="DO50" s="594"/>
      <c r="DP50" s="594"/>
      <c r="DQ50" s="594"/>
      <c r="DR50" s="594"/>
      <c r="DS50" s="594"/>
      <c r="DT50" s="594"/>
      <c r="DU50" s="594"/>
      <c r="DV50" s="594"/>
      <c r="DW50" s="594"/>
      <c r="DX50" s="594"/>
      <c r="DY50" s="594"/>
      <c r="DZ50" s="594"/>
      <c r="EA50" s="594"/>
      <c r="EB50" s="594"/>
      <c r="EC50" s="594"/>
      <c r="ED50" s="594"/>
      <c r="EE50" s="594"/>
      <c r="EF50" s="594"/>
      <c r="EG50" s="594"/>
      <c r="EH50" s="594"/>
      <c r="EI50" s="594"/>
      <c r="EJ50" s="594"/>
      <c r="EK50" s="594"/>
      <c r="EL50" s="594"/>
      <c r="EM50" s="594"/>
      <c r="EN50" s="594"/>
      <c r="EO50" s="594"/>
      <c r="EP50" s="594"/>
      <c r="EQ50" s="594"/>
      <c r="ER50" s="594"/>
      <c r="ES50" s="594"/>
      <c r="ET50" s="594"/>
      <c r="EU50" s="594"/>
      <c r="EV50" s="594"/>
      <c r="EW50" s="594"/>
      <c r="EX50" s="594"/>
      <c r="EY50" s="594"/>
      <c r="EZ50" s="594"/>
      <c r="FA50" s="594"/>
      <c r="FB50" s="594"/>
      <c r="FC50" s="594"/>
      <c r="FD50" s="594"/>
      <c r="FE50" s="594"/>
      <c r="FF50" s="594"/>
      <c r="FG50" s="594"/>
      <c r="FH50" s="594"/>
      <c r="FI50" s="594"/>
      <c r="FJ50" s="594"/>
      <c r="FK50" s="594"/>
      <c r="FL50" s="594"/>
      <c r="FM50" s="594"/>
      <c r="FN50" s="594"/>
      <c r="FO50" s="594"/>
      <c r="FP50" s="594"/>
      <c r="FQ50" s="594"/>
      <c r="FR50" s="594"/>
      <c r="FS50" s="594"/>
      <c r="FT50" s="594"/>
      <c r="FU50" s="594"/>
      <c r="FV50" s="594"/>
      <c r="FW50" s="594"/>
      <c r="FX50" s="594"/>
      <c r="FY50" s="594"/>
      <c r="FZ50" s="594"/>
      <c r="GA50" s="594"/>
      <c r="GB50" s="594"/>
      <c r="GC50" s="594"/>
      <c r="GD50" s="594"/>
      <c r="GE50" s="594"/>
      <c r="GF50" s="594"/>
      <c r="GG50" s="594"/>
      <c r="GH50" s="594"/>
      <c r="GI50" s="594"/>
      <c r="GJ50" s="594"/>
      <c r="GK50" s="594"/>
      <c r="GL50" s="594"/>
      <c r="GM50" s="594"/>
      <c r="GN50" s="594"/>
      <c r="GO50" s="594"/>
      <c r="GP50" s="594"/>
      <c r="GQ50" s="594"/>
      <c r="GR50" s="594"/>
      <c r="GS50" s="594"/>
      <c r="GT50" s="594"/>
      <c r="GU50" s="594"/>
      <c r="GV50" s="594"/>
      <c r="GW50" s="594"/>
      <c r="GX50" s="594"/>
      <c r="GY50" s="594"/>
      <c r="GZ50" s="594"/>
      <c r="HA50" s="594"/>
      <c r="HB50" s="594"/>
      <c r="HC50" s="594"/>
      <c r="HD50" s="594"/>
      <c r="HE50" s="594"/>
      <c r="HF50" s="594"/>
      <c r="HG50" s="594"/>
      <c r="HH50" s="594"/>
      <c r="HI50" s="594"/>
      <c r="HJ50" s="594"/>
      <c r="HK50" s="594"/>
      <c r="HL50" s="594"/>
      <c r="HM50" s="594"/>
      <c r="HN50" s="594"/>
      <c r="HO50" s="594"/>
      <c r="HP50" s="594"/>
      <c r="HQ50" s="594"/>
      <c r="HR50" s="594"/>
      <c r="HS50" s="594"/>
      <c r="HT50" s="594"/>
      <c r="HU50" s="594"/>
      <c r="HV50" s="594"/>
      <c r="HW50" s="594"/>
      <c r="HX50" s="594"/>
      <c r="HY50" s="594"/>
      <c r="HZ50" s="594"/>
      <c r="IA50" s="594"/>
      <c r="IB50" s="594"/>
      <c r="IC50" s="594"/>
      <c r="ID50" s="594"/>
      <c r="IE50" s="594"/>
      <c r="IF50" s="594"/>
    </row>
    <row r="51" spans="1:240" s="595" customFormat="1" ht="165" x14ac:dyDescent="0.2">
      <c r="A51" s="21">
        <f t="shared" si="0"/>
        <v>45</v>
      </c>
      <c r="B51" s="481" t="s">
        <v>97</v>
      </c>
      <c r="C51" s="577">
        <v>33</v>
      </c>
      <c r="D51" s="481" t="s">
        <v>24</v>
      </c>
      <c r="E51" s="588" t="s">
        <v>98</v>
      </c>
      <c r="F51" s="527" t="s">
        <v>99</v>
      </c>
      <c r="G51" s="588" t="s">
        <v>81</v>
      </c>
      <c r="H51" s="577" t="s">
        <v>28</v>
      </c>
      <c r="I51" s="517">
        <f>6800000*6</f>
        <v>40800000</v>
      </c>
      <c r="J51" s="517">
        <v>40800000</v>
      </c>
      <c r="K51" s="520">
        <v>42501</v>
      </c>
      <c r="L51" s="596">
        <v>42517</v>
      </c>
      <c r="M51" s="596">
        <f>L51+5</f>
        <v>42522</v>
      </c>
      <c r="N51" s="541">
        <v>180</v>
      </c>
      <c r="O51" s="596">
        <f>M51+N51</f>
        <v>42702</v>
      </c>
      <c r="P51" s="611" t="s">
        <v>101</v>
      </c>
      <c r="Q51" s="481" t="s">
        <v>709</v>
      </c>
      <c r="R51" s="481" t="s">
        <v>711</v>
      </c>
      <c r="S51" s="591" t="s">
        <v>340</v>
      </c>
      <c r="T51" s="482" t="s">
        <v>852</v>
      </c>
      <c r="U51" s="591" t="s">
        <v>310</v>
      </c>
      <c r="V51" s="593"/>
      <c r="W51" s="613"/>
      <c r="X51" s="613"/>
      <c r="Y51" s="613"/>
      <c r="Z51" s="61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c r="DJ51" s="594"/>
      <c r="DK51" s="594"/>
      <c r="DL51" s="594"/>
      <c r="DM51" s="594"/>
      <c r="DN51" s="594"/>
      <c r="DO51" s="594"/>
      <c r="DP51" s="594"/>
      <c r="DQ51" s="594"/>
      <c r="DR51" s="594"/>
      <c r="DS51" s="594"/>
      <c r="DT51" s="594"/>
      <c r="DU51" s="594"/>
      <c r="DV51" s="594"/>
      <c r="DW51" s="594"/>
      <c r="DX51" s="594"/>
      <c r="DY51" s="594"/>
      <c r="DZ51" s="594"/>
      <c r="EA51" s="594"/>
      <c r="EB51" s="594"/>
      <c r="EC51" s="594"/>
      <c r="ED51" s="594"/>
      <c r="EE51" s="594"/>
      <c r="EF51" s="594"/>
      <c r="EG51" s="594"/>
      <c r="EH51" s="594"/>
      <c r="EI51" s="594"/>
      <c r="EJ51" s="594"/>
      <c r="EK51" s="594"/>
      <c r="EL51" s="594"/>
      <c r="EM51" s="594"/>
      <c r="EN51" s="594"/>
      <c r="EO51" s="594"/>
      <c r="EP51" s="594"/>
      <c r="EQ51" s="594"/>
      <c r="ER51" s="594"/>
      <c r="ES51" s="594"/>
      <c r="ET51" s="594"/>
      <c r="EU51" s="594"/>
      <c r="EV51" s="594"/>
      <c r="EW51" s="594"/>
      <c r="EX51" s="594"/>
      <c r="EY51" s="594"/>
      <c r="EZ51" s="594"/>
      <c r="FA51" s="594"/>
      <c r="FB51" s="594"/>
      <c r="FC51" s="594"/>
      <c r="FD51" s="594"/>
      <c r="FE51" s="594"/>
      <c r="FF51" s="594"/>
      <c r="FG51" s="594"/>
      <c r="FH51" s="594"/>
      <c r="FI51" s="594"/>
      <c r="FJ51" s="594"/>
      <c r="FK51" s="594"/>
      <c r="FL51" s="594"/>
      <c r="FM51" s="594"/>
      <c r="FN51" s="594"/>
      <c r="FO51" s="594"/>
      <c r="FP51" s="594"/>
      <c r="FQ51" s="594"/>
      <c r="FR51" s="594"/>
      <c r="FS51" s="594"/>
      <c r="FT51" s="594"/>
      <c r="FU51" s="594"/>
      <c r="FV51" s="594"/>
      <c r="FW51" s="594"/>
      <c r="FX51" s="594"/>
      <c r="FY51" s="594"/>
      <c r="FZ51" s="594"/>
      <c r="GA51" s="594"/>
      <c r="GB51" s="594"/>
      <c r="GC51" s="594"/>
      <c r="GD51" s="594"/>
      <c r="GE51" s="594"/>
      <c r="GF51" s="594"/>
      <c r="GG51" s="594"/>
      <c r="GH51" s="594"/>
      <c r="GI51" s="594"/>
      <c r="GJ51" s="594"/>
      <c r="GK51" s="594"/>
      <c r="GL51" s="594"/>
      <c r="GM51" s="594"/>
      <c r="GN51" s="594"/>
      <c r="GO51" s="594"/>
      <c r="GP51" s="594"/>
      <c r="GQ51" s="594"/>
      <c r="GR51" s="594"/>
      <c r="GS51" s="594"/>
      <c r="GT51" s="594"/>
      <c r="GU51" s="594"/>
      <c r="GV51" s="594"/>
      <c r="GW51" s="594"/>
      <c r="GX51" s="594"/>
      <c r="GY51" s="594"/>
      <c r="GZ51" s="594"/>
      <c r="HA51" s="594"/>
      <c r="HB51" s="594"/>
      <c r="HC51" s="594"/>
      <c r="HD51" s="594"/>
      <c r="HE51" s="594"/>
      <c r="HF51" s="594"/>
      <c r="HG51" s="594"/>
      <c r="HH51" s="594"/>
      <c r="HI51" s="594"/>
      <c r="HJ51" s="594"/>
      <c r="HK51" s="594"/>
      <c r="HL51" s="594"/>
      <c r="HM51" s="594"/>
      <c r="HN51" s="594"/>
      <c r="HO51" s="594"/>
      <c r="HP51" s="594"/>
      <c r="HQ51" s="594"/>
      <c r="HR51" s="594"/>
      <c r="HS51" s="594"/>
      <c r="HT51" s="594"/>
      <c r="HU51" s="594"/>
      <c r="HV51" s="594"/>
      <c r="HW51" s="594"/>
      <c r="HX51" s="594"/>
      <c r="HY51" s="594"/>
      <c r="HZ51" s="594"/>
      <c r="IA51" s="594"/>
      <c r="IB51" s="594"/>
      <c r="IC51" s="594"/>
      <c r="ID51" s="594"/>
      <c r="IE51" s="594"/>
      <c r="IF51" s="594"/>
    </row>
    <row r="52" spans="1:240" s="595" customFormat="1" ht="153" x14ac:dyDescent="0.2">
      <c r="A52" s="21">
        <f t="shared" si="0"/>
        <v>46</v>
      </c>
      <c r="B52" s="481" t="s">
        <v>97</v>
      </c>
      <c r="C52" s="577">
        <v>33</v>
      </c>
      <c r="D52" s="481" t="s">
        <v>24</v>
      </c>
      <c r="E52" s="588" t="s">
        <v>98</v>
      </c>
      <c r="F52" s="527" t="s">
        <v>99</v>
      </c>
      <c r="G52" s="588" t="s">
        <v>81</v>
      </c>
      <c r="H52" s="577" t="s">
        <v>28</v>
      </c>
      <c r="I52" s="517">
        <f>6800000*6</f>
        <v>40800000</v>
      </c>
      <c r="J52" s="517">
        <v>40800000</v>
      </c>
      <c r="K52" s="520">
        <v>42501</v>
      </c>
      <c r="L52" s="596">
        <v>42516</v>
      </c>
      <c r="M52" s="596">
        <f>L52+5</f>
        <v>42521</v>
      </c>
      <c r="N52" s="541">
        <v>180</v>
      </c>
      <c r="O52" s="596">
        <f>M52+N52</f>
        <v>42701</v>
      </c>
      <c r="P52" s="611" t="s">
        <v>101</v>
      </c>
      <c r="Q52" s="481" t="s">
        <v>710</v>
      </c>
      <c r="R52" s="481" t="s">
        <v>712</v>
      </c>
      <c r="S52" s="591" t="s">
        <v>340</v>
      </c>
      <c r="T52" s="482" t="s">
        <v>853</v>
      </c>
      <c r="U52" s="591" t="s">
        <v>310</v>
      </c>
      <c r="V52" s="593"/>
      <c r="W52" s="613"/>
      <c r="X52" s="613"/>
      <c r="Y52" s="613"/>
      <c r="Z52" s="61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c r="DJ52" s="594"/>
      <c r="DK52" s="594"/>
      <c r="DL52" s="594"/>
      <c r="DM52" s="594"/>
      <c r="DN52" s="594"/>
      <c r="DO52" s="594"/>
      <c r="DP52" s="594"/>
      <c r="DQ52" s="594"/>
      <c r="DR52" s="594"/>
      <c r="DS52" s="594"/>
      <c r="DT52" s="594"/>
      <c r="DU52" s="594"/>
      <c r="DV52" s="594"/>
      <c r="DW52" s="594"/>
      <c r="DX52" s="594"/>
      <c r="DY52" s="594"/>
      <c r="DZ52" s="594"/>
      <c r="EA52" s="594"/>
      <c r="EB52" s="594"/>
      <c r="EC52" s="594"/>
      <c r="ED52" s="594"/>
      <c r="EE52" s="594"/>
      <c r="EF52" s="594"/>
      <c r="EG52" s="594"/>
      <c r="EH52" s="594"/>
      <c r="EI52" s="594"/>
      <c r="EJ52" s="594"/>
      <c r="EK52" s="594"/>
      <c r="EL52" s="594"/>
      <c r="EM52" s="594"/>
      <c r="EN52" s="594"/>
      <c r="EO52" s="594"/>
      <c r="EP52" s="594"/>
      <c r="EQ52" s="594"/>
      <c r="ER52" s="594"/>
      <c r="ES52" s="594"/>
      <c r="ET52" s="594"/>
      <c r="EU52" s="594"/>
      <c r="EV52" s="594"/>
      <c r="EW52" s="594"/>
      <c r="EX52" s="594"/>
      <c r="EY52" s="594"/>
      <c r="EZ52" s="594"/>
      <c r="FA52" s="594"/>
      <c r="FB52" s="594"/>
      <c r="FC52" s="594"/>
      <c r="FD52" s="594"/>
      <c r="FE52" s="594"/>
      <c r="FF52" s="594"/>
      <c r="FG52" s="594"/>
      <c r="FH52" s="594"/>
      <c r="FI52" s="594"/>
      <c r="FJ52" s="594"/>
      <c r="FK52" s="594"/>
      <c r="FL52" s="594"/>
      <c r="FM52" s="594"/>
      <c r="FN52" s="594"/>
      <c r="FO52" s="594"/>
      <c r="FP52" s="594"/>
      <c r="FQ52" s="594"/>
      <c r="FR52" s="594"/>
      <c r="FS52" s="594"/>
      <c r="FT52" s="594"/>
      <c r="FU52" s="594"/>
      <c r="FV52" s="594"/>
      <c r="FW52" s="594"/>
      <c r="FX52" s="594"/>
      <c r="FY52" s="594"/>
      <c r="FZ52" s="594"/>
      <c r="GA52" s="594"/>
      <c r="GB52" s="594"/>
      <c r="GC52" s="594"/>
      <c r="GD52" s="594"/>
      <c r="GE52" s="594"/>
      <c r="GF52" s="594"/>
      <c r="GG52" s="594"/>
      <c r="GH52" s="594"/>
      <c r="GI52" s="594"/>
      <c r="GJ52" s="594"/>
      <c r="GK52" s="594"/>
      <c r="GL52" s="594"/>
      <c r="GM52" s="594"/>
      <c r="GN52" s="594"/>
      <c r="GO52" s="594"/>
      <c r="GP52" s="594"/>
      <c r="GQ52" s="594"/>
      <c r="GR52" s="594"/>
      <c r="GS52" s="594"/>
      <c r="GT52" s="594"/>
      <c r="GU52" s="594"/>
      <c r="GV52" s="594"/>
      <c r="GW52" s="594"/>
      <c r="GX52" s="594"/>
      <c r="GY52" s="594"/>
      <c r="GZ52" s="594"/>
      <c r="HA52" s="594"/>
      <c r="HB52" s="594"/>
      <c r="HC52" s="594"/>
      <c r="HD52" s="594"/>
      <c r="HE52" s="594"/>
      <c r="HF52" s="594"/>
      <c r="HG52" s="594"/>
      <c r="HH52" s="594"/>
      <c r="HI52" s="594"/>
      <c r="HJ52" s="594"/>
      <c r="HK52" s="594"/>
      <c r="HL52" s="594"/>
      <c r="HM52" s="594"/>
      <c r="HN52" s="594"/>
      <c r="HO52" s="594"/>
      <c r="HP52" s="594"/>
      <c r="HQ52" s="594"/>
      <c r="HR52" s="594"/>
      <c r="HS52" s="594"/>
      <c r="HT52" s="594"/>
      <c r="HU52" s="594"/>
      <c r="HV52" s="594"/>
      <c r="HW52" s="594"/>
      <c r="HX52" s="594"/>
      <c r="HY52" s="594"/>
      <c r="HZ52" s="594"/>
      <c r="IA52" s="594"/>
      <c r="IB52" s="594"/>
      <c r="IC52" s="594"/>
      <c r="ID52" s="594"/>
      <c r="IE52" s="594"/>
      <c r="IF52" s="594"/>
    </row>
    <row r="53" spans="1:240" s="191" customFormat="1" ht="69" customHeight="1" x14ac:dyDescent="0.2">
      <c r="A53" s="21">
        <f t="shared" si="0"/>
        <v>47</v>
      </c>
      <c r="B53" s="10" t="s">
        <v>97</v>
      </c>
      <c r="C53" s="184">
        <v>33</v>
      </c>
      <c r="D53" s="10" t="s">
        <v>24</v>
      </c>
      <c r="E53" s="173" t="s">
        <v>98</v>
      </c>
      <c r="F53" s="9" t="s">
        <v>99</v>
      </c>
      <c r="G53" s="173" t="s">
        <v>216</v>
      </c>
      <c r="H53" s="184" t="s">
        <v>28</v>
      </c>
      <c r="I53" s="26">
        <v>120000000</v>
      </c>
      <c r="J53" s="26"/>
      <c r="K53" s="5">
        <v>42505</v>
      </c>
      <c r="L53" s="451">
        <v>42505</v>
      </c>
      <c r="M53" s="451">
        <v>42510</v>
      </c>
      <c r="N53" s="6">
        <v>365</v>
      </c>
      <c r="O53" s="451">
        <v>42865</v>
      </c>
      <c r="P53" s="189">
        <v>321519</v>
      </c>
      <c r="Q53" s="10" t="s">
        <v>276</v>
      </c>
      <c r="R53" s="11" t="s">
        <v>102</v>
      </c>
      <c r="S53" s="220" t="s">
        <v>340</v>
      </c>
      <c r="T53" s="455"/>
      <c r="U53" s="220"/>
      <c r="V53" s="455"/>
      <c r="W53" s="455"/>
      <c r="X53" s="455"/>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456"/>
      <c r="CC53" s="456"/>
      <c r="CD53" s="456"/>
      <c r="CE53" s="456"/>
      <c r="CF53" s="456"/>
      <c r="CG53" s="456"/>
      <c r="CH53" s="456"/>
      <c r="CI53" s="456"/>
      <c r="CJ53" s="456"/>
      <c r="CK53" s="456"/>
      <c r="CL53" s="456"/>
      <c r="CM53" s="456"/>
      <c r="CN53" s="456"/>
      <c r="CO53" s="456"/>
      <c r="CP53" s="456"/>
      <c r="CQ53" s="456"/>
      <c r="CR53" s="456"/>
      <c r="CS53" s="456"/>
      <c r="CT53" s="456"/>
      <c r="CU53" s="456"/>
      <c r="CV53" s="456"/>
      <c r="CW53" s="456"/>
      <c r="CX53" s="456"/>
      <c r="CY53" s="456"/>
      <c r="CZ53" s="456"/>
      <c r="DA53" s="456"/>
      <c r="DB53" s="456"/>
      <c r="DC53" s="456"/>
      <c r="DD53" s="456"/>
      <c r="DE53" s="456"/>
      <c r="DF53" s="456"/>
      <c r="DG53" s="456"/>
      <c r="DH53" s="456"/>
      <c r="DI53" s="456"/>
      <c r="DJ53" s="456"/>
      <c r="DK53" s="456"/>
      <c r="DL53" s="456"/>
      <c r="DM53" s="456"/>
      <c r="DN53" s="456"/>
      <c r="DO53" s="456"/>
      <c r="DP53" s="456"/>
      <c r="DQ53" s="456"/>
      <c r="DR53" s="456"/>
      <c r="DS53" s="456"/>
      <c r="DT53" s="456"/>
      <c r="DU53" s="456"/>
      <c r="DV53" s="456"/>
      <c r="DW53" s="456"/>
      <c r="DX53" s="456"/>
      <c r="DY53" s="456"/>
      <c r="DZ53" s="456"/>
      <c r="EA53" s="456"/>
      <c r="EB53" s="456"/>
      <c r="EC53" s="456"/>
      <c r="ED53" s="456"/>
      <c r="EE53" s="456"/>
      <c r="EF53" s="456"/>
      <c r="EG53" s="456"/>
      <c r="EH53" s="456"/>
      <c r="EI53" s="456"/>
      <c r="EJ53" s="456"/>
      <c r="EK53" s="456"/>
      <c r="EL53" s="456"/>
      <c r="EM53" s="456"/>
      <c r="EN53" s="456"/>
      <c r="EO53" s="456"/>
      <c r="EP53" s="456"/>
      <c r="EQ53" s="456"/>
      <c r="ER53" s="456"/>
      <c r="ES53" s="456"/>
      <c r="ET53" s="456"/>
      <c r="EU53" s="456"/>
      <c r="EV53" s="456"/>
      <c r="EW53" s="456"/>
      <c r="EX53" s="456"/>
      <c r="EY53" s="456"/>
      <c r="EZ53" s="456"/>
      <c r="FA53" s="456"/>
      <c r="FB53" s="456"/>
      <c r="FC53" s="456"/>
      <c r="FD53" s="456"/>
      <c r="FE53" s="456"/>
      <c r="FF53" s="456"/>
      <c r="FG53" s="456"/>
      <c r="FH53" s="456"/>
      <c r="FI53" s="456"/>
      <c r="FJ53" s="456"/>
      <c r="FK53" s="456"/>
      <c r="FL53" s="456"/>
      <c r="FM53" s="456"/>
      <c r="FN53" s="456"/>
      <c r="FO53" s="456"/>
      <c r="FP53" s="456"/>
      <c r="FQ53" s="456"/>
      <c r="FR53" s="456"/>
      <c r="FS53" s="456"/>
      <c r="FT53" s="456"/>
      <c r="FU53" s="456"/>
      <c r="FV53" s="456"/>
      <c r="FW53" s="456"/>
      <c r="FX53" s="456"/>
      <c r="FY53" s="456"/>
      <c r="FZ53" s="456"/>
      <c r="GA53" s="456"/>
      <c r="GB53" s="456"/>
      <c r="GC53" s="456"/>
      <c r="GD53" s="456"/>
      <c r="GE53" s="456"/>
      <c r="GF53" s="456"/>
      <c r="GG53" s="456"/>
      <c r="GH53" s="456"/>
      <c r="GI53" s="456"/>
      <c r="GJ53" s="456"/>
      <c r="GK53" s="456"/>
      <c r="GL53" s="456"/>
      <c r="GM53" s="456"/>
      <c r="GN53" s="456"/>
      <c r="GO53" s="456"/>
      <c r="GP53" s="456"/>
      <c r="GQ53" s="456"/>
      <c r="GR53" s="456"/>
      <c r="GS53" s="456"/>
      <c r="GT53" s="456"/>
      <c r="GU53" s="456"/>
      <c r="GV53" s="456"/>
      <c r="GW53" s="456"/>
      <c r="GX53" s="456"/>
      <c r="GY53" s="456"/>
      <c r="GZ53" s="456"/>
      <c r="HA53" s="456"/>
      <c r="HB53" s="456"/>
      <c r="HC53" s="456"/>
      <c r="HD53" s="456"/>
      <c r="HE53" s="456"/>
      <c r="HF53" s="456"/>
      <c r="HG53" s="456"/>
      <c r="HH53" s="456"/>
      <c r="HI53" s="456"/>
      <c r="HJ53" s="456"/>
      <c r="HK53" s="456"/>
      <c r="HL53" s="456"/>
      <c r="HM53" s="456"/>
      <c r="HN53" s="456"/>
      <c r="HO53" s="456"/>
      <c r="HP53" s="456"/>
      <c r="HQ53" s="456"/>
      <c r="HR53" s="456"/>
      <c r="HS53" s="456"/>
      <c r="HT53" s="456"/>
      <c r="HU53" s="456"/>
      <c r="HV53" s="456"/>
      <c r="HW53" s="456"/>
      <c r="HX53" s="456"/>
      <c r="HY53" s="456"/>
      <c r="HZ53" s="456"/>
      <c r="IA53" s="456"/>
      <c r="IB53" s="456"/>
      <c r="IC53" s="456"/>
      <c r="ID53" s="456"/>
      <c r="IE53" s="456"/>
      <c r="IF53" s="456"/>
    </row>
    <row r="54" spans="1:240" s="191" customFormat="1" ht="201.75" customHeight="1" x14ac:dyDescent="0.2">
      <c r="A54" s="21">
        <f t="shared" si="0"/>
        <v>48</v>
      </c>
      <c r="B54" s="10" t="s">
        <v>97</v>
      </c>
      <c r="C54" s="184">
        <v>33</v>
      </c>
      <c r="D54" s="10" t="s">
        <v>24</v>
      </c>
      <c r="E54" s="173" t="s">
        <v>98</v>
      </c>
      <c r="F54" s="9" t="s">
        <v>99</v>
      </c>
      <c r="G54" s="173" t="s">
        <v>81</v>
      </c>
      <c r="H54" s="184" t="s">
        <v>28</v>
      </c>
      <c r="I54" s="26">
        <v>30000000</v>
      </c>
      <c r="J54" s="10"/>
      <c r="K54" s="5">
        <v>42458</v>
      </c>
      <c r="L54" s="459">
        <v>42518</v>
      </c>
      <c r="M54" s="460">
        <v>42523</v>
      </c>
      <c r="N54" s="461">
        <v>30</v>
      </c>
      <c r="O54" s="451">
        <v>42553</v>
      </c>
      <c r="P54" s="291" t="s">
        <v>694</v>
      </c>
      <c r="Q54" s="10" t="s">
        <v>649</v>
      </c>
      <c r="R54" s="11" t="s">
        <v>695</v>
      </c>
      <c r="S54" s="220" t="s">
        <v>691</v>
      </c>
      <c r="T54" s="220" t="s">
        <v>690</v>
      </c>
      <c r="U54" s="220" t="s">
        <v>692</v>
      </c>
      <c r="V54" s="455"/>
      <c r="W54" s="455"/>
      <c r="X54" s="455"/>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CU54" s="456"/>
      <c r="CV54" s="456"/>
      <c r="CW54" s="456"/>
      <c r="CX54" s="456"/>
      <c r="CY54" s="456"/>
      <c r="CZ54" s="456"/>
      <c r="DA54" s="456"/>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c r="EC54" s="456"/>
      <c r="ED54" s="456"/>
      <c r="EE54" s="456"/>
      <c r="EF54" s="456"/>
      <c r="EG54" s="456"/>
      <c r="EH54" s="456"/>
      <c r="EI54" s="456"/>
      <c r="EJ54" s="456"/>
      <c r="EK54" s="456"/>
      <c r="EL54" s="456"/>
      <c r="EM54" s="456"/>
      <c r="EN54" s="456"/>
      <c r="EO54" s="456"/>
      <c r="EP54" s="456"/>
      <c r="EQ54" s="456"/>
      <c r="ER54" s="456"/>
      <c r="ES54" s="456"/>
      <c r="ET54" s="456"/>
      <c r="EU54" s="456"/>
      <c r="EV54" s="456"/>
      <c r="EW54" s="456"/>
      <c r="EX54" s="456"/>
      <c r="EY54" s="456"/>
      <c r="EZ54" s="456"/>
      <c r="FA54" s="456"/>
      <c r="FB54" s="456"/>
      <c r="FC54" s="456"/>
      <c r="FD54" s="456"/>
      <c r="FE54" s="456"/>
      <c r="FF54" s="456"/>
      <c r="FG54" s="456"/>
      <c r="FH54" s="456"/>
      <c r="FI54" s="456"/>
      <c r="FJ54" s="456"/>
      <c r="FK54" s="456"/>
      <c r="FL54" s="456"/>
      <c r="FM54" s="456"/>
      <c r="FN54" s="456"/>
      <c r="FO54" s="456"/>
      <c r="FP54" s="456"/>
      <c r="FQ54" s="456"/>
      <c r="FR54" s="456"/>
      <c r="FS54" s="456"/>
      <c r="FT54" s="456"/>
      <c r="FU54" s="456"/>
      <c r="FV54" s="456"/>
      <c r="FW54" s="456"/>
      <c r="FX54" s="456"/>
      <c r="FY54" s="456"/>
      <c r="FZ54" s="456"/>
      <c r="GA54" s="456"/>
      <c r="GB54" s="456"/>
      <c r="GC54" s="456"/>
      <c r="GD54" s="456"/>
      <c r="GE54" s="456"/>
      <c r="GF54" s="456"/>
      <c r="GG54" s="456"/>
      <c r="GH54" s="456"/>
      <c r="GI54" s="456"/>
      <c r="GJ54" s="456"/>
      <c r="GK54" s="456"/>
      <c r="GL54" s="456"/>
      <c r="GM54" s="456"/>
      <c r="GN54" s="456"/>
      <c r="GO54" s="456"/>
      <c r="GP54" s="456"/>
      <c r="GQ54" s="456"/>
      <c r="GR54" s="456"/>
      <c r="GS54" s="456"/>
      <c r="GT54" s="456"/>
      <c r="GU54" s="456"/>
      <c r="GV54" s="456"/>
      <c r="GW54" s="456"/>
      <c r="GX54" s="456"/>
      <c r="GY54" s="456"/>
      <c r="GZ54" s="456"/>
      <c r="HA54" s="456"/>
      <c r="HB54" s="456"/>
      <c r="HC54" s="456"/>
      <c r="HD54" s="456"/>
      <c r="HE54" s="456"/>
      <c r="HF54" s="456"/>
      <c r="HG54" s="456"/>
      <c r="HH54" s="456"/>
      <c r="HI54" s="456"/>
      <c r="HJ54" s="456"/>
      <c r="HK54" s="456"/>
      <c r="HL54" s="456"/>
      <c r="HM54" s="456"/>
      <c r="HN54" s="456"/>
      <c r="HO54" s="456"/>
      <c r="HP54" s="456"/>
      <c r="HQ54" s="456"/>
      <c r="HR54" s="456"/>
      <c r="HS54" s="456"/>
      <c r="HT54" s="456"/>
      <c r="HU54" s="456"/>
      <c r="HV54" s="456"/>
      <c r="HW54" s="456"/>
      <c r="HX54" s="456"/>
      <c r="HY54" s="456"/>
      <c r="HZ54" s="456"/>
      <c r="IA54" s="456"/>
      <c r="IB54" s="456"/>
      <c r="IC54" s="456"/>
      <c r="ID54" s="456"/>
      <c r="IE54" s="456"/>
      <c r="IF54" s="456"/>
    </row>
    <row r="55" spans="1:240" s="191" customFormat="1" ht="102" customHeight="1" x14ac:dyDescent="0.2">
      <c r="A55" s="21">
        <f t="shared" si="0"/>
        <v>49</v>
      </c>
      <c r="B55" s="10" t="s">
        <v>97</v>
      </c>
      <c r="C55" s="184">
        <v>33</v>
      </c>
      <c r="D55" s="10" t="s">
        <v>24</v>
      </c>
      <c r="E55" s="173" t="s">
        <v>98</v>
      </c>
      <c r="F55" s="9" t="s">
        <v>99</v>
      </c>
      <c r="G55" s="173" t="s">
        <v>27</v>
      </c>
      <c r="H55" s="184" t="s">
        <v>63</v>
      </c>
      <c r="I55" s="26">
        <v>29000000</v>
      </c>
      <c r="J55" s="10"/>
      <c r="K55" s="5">
        <v>42536</v>
      </c>
      <c r="L55" s="452">
        <v>42596</v>
      </c>
      <c r="M55" s="5">
        <v>42601</v>
      </c>
      <c r="N55" s="184">
        <v>60</v>
      </c>
      <c r="O55" s="5">
        <v>42661</v>
      </c>
      <c r="P55" s="453" t="s">
        <v>693</v>
      </c>
      <c r="Q55" s="10" t="s">
        <v>532</v>
      </c>
      <c r="R55" s="10" t="s">
        <v>696</v>
      </c>
      <c r="S55" s="220" t="s">
        <v>340</v>
      </c>
      <c r="T55" s="455"/>
      <c r="U55" s="220"/>
      <c r="V55" s="455"/>
      <c r="W55" s="455"/>
      <c r="X55" s="455"/>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c r="BO55" s="456"/>
      <c r="BP55" s="456"/>
      <c r="BQ55" s="456"/>
      <c r="BR55" s="456"/>
      <c r="BS55" s="456"/>
      <c r="BT55" s="456"/>
      <c r="BU55" s="456"/>
      <c r="BV55" s="456"/>
      <c r="BW55" s="456"/>
      <c r="BX55" s="456"/>
      <c r="BY55" s="456"/>
      <c r="BZ55" s="456"/>
      <c r="CA55" s="456"/>
      <c r="CB55" s="456"/>
      <c r="CC55" s="456"/>
      <c r="CD55" s="456"/>
      <c r="CE55" s="456"/>
      <c r="CF55" s="456"/>
      <c r="CG55" s="456"/>
      <c r="CH55" s="456"/>
      <c r="CI55" s="456"/>
      <c r="CJ55" s="456"/>
      <c r="CK55" s="456"/>
      <c r="CL55" s="456"/>
      <c r="CM55" s="456"/>
      <c r="CN55" s="456"/>
      <c r="CO55" s="456"/>
      <c r="CP55" s="456"/>
      <c r="CQ55" s="456"/>
      <c r="CR55" s="456"/>
      <c r="CS55" s="456"/>
      <c r="CT55" s="456"/>
      <c r="CU55" s="456"/>
      <c r="CV55" s="456"/>
      <c r="CW55" s="456"/>
      <c r="CX55" s="456"/>
      <c r="CY55" s="456"/>
      <c r="CZ55" s="456"/>
      <c r="DA55" s="456"/>
      <c r="DB55" s="456"/>
      <c r="DC55" s="456"/>
      <c r="DD55" s="456"/>
      <c r="DE55" s="456"/>
      <c r="DF55" s="456"/>
      <c r="DG55" s="456"/>
      <c r="DH55" s="456"/>
      <c r="DI55" s="456"/>
      <c r="DJ55" s="456"/>
      <c r="DK55" s="456"/>
      <c r="DL55" s="456"/>
      <c r="DM55" s="456"/>
      <c r="DN55" s="456"/>
      <c r="DO55" s="456"/>
      <c r="DP55" s="456"/>
      <c r="DQ55" s="456"/>
      <c r="DR55" s="456"/>
      <c r="DS55" s="456"/>
      <c r="DT55" s="456"/>
      <c r="DU55" s="456"/>
      <c r="DV55" s="456"/>
      <c r="DW55" s="456"/>
      <c r="DX55" s="456"/>
      <c r="DY55" s="456"/>
      <c r="DZ55" s="456"/>
      <c r="EA55" s="456"/>
      <c r="EB55" s="456"/>
      <c r="EC55" s="456"/>
      <c r="ED55" s="456"/>
      <c r="EE55" s="456"/>
      <c r="EF55" s="456"/>
      <c r="EG55" s="456"/>
      <c r="EH55" s="456"/>
      <c r="EI55" s="456"/>
      <c r="EJ55" s="456"/>
      <c r="EK55" s="456"/>
      <c r="EL55" s="456"/>
      <c r="EM55" s="456"/>
      <c r="EN55" s="456"/>
      <c r="EO55" s="456"/>
      <c r="EP55" s="456"/>
      <c r="EQ55" s="456"/>
      <c r="ER55" s="456"/>
      <c r="ES55" s="456"/>
      <c r="ET55" s="456"/>
      <c r="EU55" s="456"/>
      <c r="EV55" s="456"/>
      <c r="EW55" s="456"/>
      <c r="EX55" s="456"/>
      <c r="EY55" s="456"/>
      <c r="EZ55" s="456"/>
      <c r="FA55" s="456"/>
      <c r="FB55" s="456"/>
      <c r="FC55" s="456"/>
      <c r="FD55" s="456"/>
      <c r="FE55" s="456"/>
      <c r="FF55" s="456"/>
      <c r="FG55" s="456"/>
      <c r="FH55" s="456"/>
      <c r="FI55" s="456"/>
      <c r="FJ55" s="456"/>
      <c r="FK55" s="456"/>
      <c r="FL55" s="456"/>
      <c r="FM55" s="456"/>
      <c r="FN55" s="456"/>
      <c r="FO55" s="456"/>
      <c r="FP55" s="456"/>
      <c r="FQ55" s="456"/>
      <c r="FR55" s="456"/>
      <c r="FS55" s="456"/>
      <c r="FT55" s="456"/>
      <c r="FU55" s="456"/>
      <c r="FV55" s="456"/>
      <c r="FW55" s="456"/>
      <c r="FX55" s="456"/>
      <c r="FY55" s="456"/>
      <c r="FZ55" s="456"/>
      <c r="GA55" s="456"/>
      <c r="GB55" s="456"/>
      <c r="GC55" s="456"/>
      <c r="GD55" s="456"/>
      <c r="GE55" s="456"/>
      <c r="GF55" s="456"/>
      <c r="GG55" s="456"/>
      <c r="GH55" s="456"/>
      <c r="GI55" s="456"/>
      <c r="GJ55" s="456"/>
      <c r="GK55" s="456"/>
      <c r="GL55" s="456"/>
      <c r="GM55" s="456"/>
      <c r="GN55" s="456"/>
      <c r="GO55" s="456"/>
      <c r="GP55" s="456"/>
      <c r="GQ55" s="456"/>
      <c r="GR55" s="456"/>
      <c r="GS55" s="456"/>
      <c r="GT55" s="456"/>
      <c r="GU55" s="456"/>
      <c r="GV55" s="456"/>
      <c r="GW55" s="456"/>
      <c r="GX55" s="456"/>
      <c r="GY55" s="456"/>
      <c r="GZ55" s="456"/>
      <c r="HA55" s="456"/>
      <c r="HB55" s="456"/>
      <c r="HC55" s="456"/>
      <c r="HD55" s="456"/>
      <c r="HE55" s="456"/>
      <c r="HF55" s="456"/>
      <c r="HG55" s="456"/>
      <c r="HH55" s="456"/>
      <c r="HI55" s="456"/>
      <c r="HJ55" s="456"/>
      <c r="HK55" s="456"/>
      <c r="HL55" s="456"/>
      <c r="HM55" s="456"/>
      <c r="HN55" s="456"/>
      <c r="HO55" s="456"/>
      <c r="HP55" s="456"/>
      <c r="HQ55" s="456"/>
      <c r="HR55" s="456"/>
      <c r="HS55" s="456"/>
      <c r="HT55" s="456"/>
      <c r="HU55" s="456"/>
      <c r="HV55" s="456"/>
      <c r="HW55" s="456"/>
      <c r="HX55" s="456"/>
      <c r="HY55" s="456"/>
      <c r="HZ55" s="456"/>
      <c r="IA55" s="456"/>
      <c r="IB55" s="456"/>
      <c r="IC55" s="456"/>
      <c r="ID55" s="456"/>
      <c r="IE55" s="456"/>
      <c r="IF55" s="456"/>
    </row>
    <row r="56" spans="1:240" s="595" customFormat="1" ht="122.25" customHeight="1" x14ac:dyDescent="0.2">
      <c r="A56" s="21">
        <f t="shared" si="0"/>
        <v>50</v>
      </c>
      <c r="B56" s="481" t="s">
        <v>97</v>
      </c>
      <c r="C56" s="577">
        <v>33</v>
      </c>
      <c r="D56" s="481" t="s">
        <v>24</v>
      </c>
      <c r="E56" s="588" t="s">
        <v>98</v>
      </c>
      <c r="F56" s="527" t="s">
        <v>99</v>
      </c>
      <c r="G56" s="527" t="s">
        <v>670</v>
      </c>
      <c r="H56" s="578" t="s">
        <v>437</v>
      </c>
      <c r="I56" s="517">
        <v>5000000</v>
      </c>
      <c r="J56" s="518">
        <v>5000000</v>
      </c>
      <c r="K56" s="520">
        <v>42419</v>
      </c>
      <c r="L56" s="589">
        <v>42482</v>
      </c>
      <c r="M56" s="590" t="s">
        <v>424</v>
      </c>
      <c r="N56" s="577" t="s">
        <v>424</v>
      </c>
      <c r="O56" s="590" t="s">
        <v>424</v>
      </c>
      <c r="P56" s="578" t="s">
        <v>674</v>
      </c>
      <c r="Q56" s="481" t="s">
        <v>689</v>
      </c>
      <c r="R56" s="544" t="s">
        <v>697</v>
      </c>
      <c r="S56" s="591" t="s">
        <v>340</v>
      </c>
      <c r="T56" s="592" t="s">
        <v>701</v>
      </c>
      <c r="U56" s="591" t="s">
        <v>546</v>
      </c>
      <c r="V56" s="593"/>
      <c r="W56" s="593"/>
      <c r="X56" s="593"/>
      <c r="Y56" s="594"/>
      <c r="Z56" s="594"/>
      <c r="AA56" s="582"/>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594"/>
      <c r="BE56" s="594"/>
      <c r="BF56" s="594"/>
      <c r="BG56" s="594"/>
      <c r="BH56" s="594"/>
      <c r="BI56" s="594"/>
      <c r="BJ56" s="594"/>
      <c r="BK56" s="594"/>
      <c r="BL56" s="594"/>
      <c r="BM56" s="594"/>
      <c r="BN56" s="594"/>
      <c r="BO56" s="594"/>
      <c r="BP56" s="594"/>
      <c r="BQ56" s="594"/>
      <c r="BR56" s="594"/>
      <c r="BS56" s="594"/>
      <c r="BT56" s="594"/>
      <c r="BU56" s="594"/>
      <c r="BV56" s="594"/>
      <c r="BW56" s="594"/>
      <c r="BX56" s="594"/>
      <c r="BY56" s="594"/>
      <c r="BZ56" s="594"/>
      <c r="CA56" s="594"/>
      <c r="CB56" s="594"/>
      <c r="CC56" s="594"/>
      <c r="CD56" s="594"/>
      <c r="CE56" s="594"/>
      <c r="CF56" s="594"/>
      <c r="CG56" s="594"/>
      <c r="CH56" s="594"/>
      <c r="CI56" s="594"/>
      <c r="CJ56" s="594"/>
      <c r="CK56" s="594"/>
      <c r="CL56" s="594"/>
      <c r="CM56" s="594"/>
      <c r="CN56" s="594"/>
      <c r="CO56" s="594"/>
      <c r="CP56" s="594"/>
      <c r="CQ56" s="594"/>
      <c r="CR56" s="594"/>
      <c r="CS56" s="594"/>
      <c r="CT56" s="594"/>
      <c r="CU56" s="594"/>
      <c r="CV56" s="594"/>
      <c r="CW56" s="594"/>
      <c r="CX56" s="594"/>
      <c r="CY56" s="594"/>
      <c r="CZ56" s="594"/>
      <c r="DA56" s="594"/>
      <c r="DB56" s="594"/>
      <c r="DC56" s="594"/>
      <c r="DD56" s="594"/>
      <c r="DE56" s="594"/>
      <c r="DF56" s="594"/>
      <c r="DG56" s="594"/>
      <c r="DH56" s="594"/>
      <c r="DI56" s="594"/>
      <c r="DJ56" s="594"/>
      <c r="DK56" s="594"/>
      <c r="DL56" s="594"/>
      <c r="DM56" s="594"/>
      <c r="DN56" s="594"/>
      <c r="DO56" s="594"/>
      <c r="DP56" s="594"/>
      <c r="DQ56" s="594"/>
      <c r="DR56" s="594"/>
      <c r="DS56" s="594"/>
      <c r="DT56" s="594"/>
      <c r="DU56" s="594"/>
      <c r="DV56" s="594"/>
      <c r="DW56" s="594"/>
      <c r="DX56" s="594"/>
      <c r="DY56" s="594"/>
      <c r="DZ56" s="594"/>
      <c r="EA56" s="594"/>
      <c r="EB56" s="594"/>
      <c r="EC56" s="594"/>
      <c r="ED56" s="594"/>
      <c r="EE56" s="594"/>
      <c r="EF56" s="594"/>
      <c r="EG56" s="594"/>
      <c r="EH56" s="594"/>
      <c r="EI56" s="594"/>
      <c r="EJ56" s="594"/>
      <c r="EK56" s="594"/>
      <c r="EL56" s="594"/>
      <c r="EM56" s="594"/>
      <c r="EN56" s="594"/>
      <c r="EO56" s="594"/>
      <c r="EP56" s="594"/>
      <c r="EQ56" s="594"/>
      <c r="ER56" s="594"/>
      <c r="ES56" s="594"/>
      <c r="ET56" s="594"/>
      <c r="EU56" s="594"/>
      <c r="EV56" s="594"/>
      <c r="EW56" s="594"/>
      <c r="EX56" s="594"/>
      <c r="EY56" s="594"/>
      <c r="EZ56" s="594"/>
      <c r="FA56" s="594"/>
      <c r="FB56" s="594"/>
      <c r="FC56" s="594"/>
      <c r="FD56" s="594"/>
      <c r="FE56" s="594"/>
      <c r="FF56" s="594"/>
      <c r="FG56" s="594"/>
      <c r="FH56" s="594"/>
      <c r="FI56" s="594"/>
      <c r="FJ56" s="594"/>
      <c r="FK56" s="594"/>
      <c r="FL56" s="594"/>
      <c r="FM56" s="594"/>
      <c r="FN56" s="594"/>
      <c r="FO56" s="594"/>
      <c r="FP56" s="594"/>
      <c r="FQ56" s="594"/>
      <c r="FR56" s="594"/>
      <c r="FS56" s="594"/>
      <c r="FT56" s="594"/>
      <c r="FU56" s="594"/>
      <c r="FV56" s="594"/>
      <c r="FW56" s="594"/>
      <c r="FX56" s="594"/>
      <c r="FY56" s="594"/>
      <c r="FZ56" s="594"/>
      <c r="GA56" s="594"/>
      <c r="GB56" s="594"/>
      <c r="GC56" s="594"/>
      <c r="GD56" s="594"/>
      <c r="GE56" s="594"/>
      <c r="GF56" s="594"/>
      <c r="GG56" s="594"/>
      <c r="GH56" s="594"/>
      <c r="GI56" s="594"/>
      <c r="GJ56" s="594"/>
      <c r="GK56" s="594"/>
      <c r="GL56" s="594"/>
      <c r="GM56" s="594"/>
      <c r="GN56" s="594"/>
      <c r="GO56" s="594"/>
      <c r="GP56" s="594"/>
      <c r="GQ56" s="594"/>
      <c r="GR56" s="594"/>
      <c r="GS56" s="594"/>
      <c r="GT56" s="594"/>
      <c r="GU56" s="594"/>
      <c r="GV56" s="594"/>
      <c r="GW56" s="594"/>
      <c r="GX56" s="594"/>
      <c r="GY56" s="594"/>
      <c r="GZ56" s="594"/>
      <c r="HA56" s="594"/>
      <c r="HB56" s="594"/>
      <c r="HC56" s="594"/>
      <c r="HD56" s="594"/>
      <c r="HE56" s="594"/>
      <c r="HF56" s="594"/>
      <c r="HG56" s="594"/>
      <c r="HH56" s="594"/>
      <c r="HI56" s="594"/>
      <c r="HJ56" s="594"/>
      <c r="HK56" s="594"/>
      <c r="HL56" s="594"/>
      <c r="HM56" s="594"/>
      <c r="HN56" s="594"/>
      <c r="HO56" s="594"/>
      <c r="HP56" s="594"/>
      <c r="HQ56" s="594"/>
      <c r="HR56" s="594"/>
      <c r="HS56" s="594"/>
      <c r="HT56" s="594"/>
      <c r="HU56" s="594"/>
      <c r="HV56" s="594"/>
      <c r="HW56" s="594"/>
      <c r="HX56" s="594"/>
      <c r="HY56" s="594"/>
      <c r="HZ56" s="594"/>
      <c r="IA56" s="594"/>
      <c r="IB56" s="594"/>
      <c r="IC56" s="594"/>
      <c r="ID56" s="594"/>
      <c r="IE56" s="594"/>
      <c r="IF56" s="594"/>
    </row>
    <row r="57" spans="1:240" s="191" customFormat="1" ht="167.25" customHeight="1" x14ac:dyDescent="0.2">
      <c r="A57" s="21">
        <f t="shared" si="0"/>
        <v>51</v>
      </c>
      <c r="B57" s="10" t="s">
        <v>97</v>
      </c>
      <c r="C57" s="184">
        <v>33</v>
      </c>
      <c r="D57" s="10" t="s">
        <v>24</v>
      </c>
      <c r="E57" s="173" t="s">
        <v>98</v>
      </c>
      <c r="F57" s="9" t="s">
        <v>99</v>
      </c>
      <c r="G57" s="184" t="s">
        <v>103</v>
      </c>
      <c r="H57" s="184" t="s">
        <v>215</v>
      </c>
      <c r="I57" s="26">
        <f>307434199+258000000</f>
        <v>565434199</v>
      </c>
      <c r="J57" s="26"/>
      <c r="K57" s="5">
        <v>42520</v>
      </c>
      <c r="L57" s="451">
        <v>42526</v>
      </c>
      <c r="M57" s="451">
        <v>42531</v>
      </c>
      <c r="N57" s="6">
        <v>365</v>
      </c>
      <c r="O57" s="451">
        <v>42550</v>
      </c>
      <c r="P57" s="189">
        <v>81111811</v>
      </c>
      <c r="Q57" s="10" t="s">
        <v>253</v>
      </c>
      <c r="R57" s="193" t="s">
        <v>698</v>
      </c>
      <c r="S57" s="220" t="s">
        <v>340</v>
      </c>
      <c r="T57" s="455"/>
      <c r="U57" s="220"/>
      <c r="V57" s="455"/>
      <c r="W57" s="455"/>
      <c r="X57" s="455"/>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456"/>
      <c r="BU57" s="456"/>
      <c r="BV57" s="456"/>
      <c r="BW57" s="456"/>
      <c r="BX57" s="456"/>
      <c r="BY57" s="456"/>
      <c r="BZ57" s="456"/>
      <c r="CA57" s="456"/>
      <c r="CB57" s="456"/>
      <c r="CC57" s="456"/>
      <c r="CD57" s="456"/>
      <c r="CE57" s="456"/>
      <c r="CF57" s="456"/>
      <c r="CG57" s="456"/>
      <c r="CH57" s="456"/>
      <c r="CI57" s="456"/>
      <c r="CJ57" s="456"/>
      <c r="CK57" s="456"/>
      <c r="CL57" s="456"/>
      <c r="CM57" s="456"/>
      <c r="CN57" s="456"/>
      <c r="CO57" s="456"/>
      <c r="CP57" s="456"/>
      <c r="CQ57" s="456"/>
      <c r="CR57" s="456"/>
      <c r="CS57" s="456"/>
      <c r="CT57" s="456"/>
      <c r="CU57" s="456"/>
      <c r="CV57" s="456"/>
      <c r="CW57" s="456"/>
      <c r="CX57" s="456"/>
      <c r="CY57" s="456"/>
      <c r="CZ57" s="456"/>
      <c r="DA57" s="456"/>
      <c r="DB57" s="456"/>
      <c r="DC57" s="456"/>
      <c r="DD57" s="456"/>
      <c r="DE57" s="456"/>
      <c r="DF57" s="456"/>
      <c r="DG57" s="456"/>
      <c r="DH57" s="456"/>
      <c r="DI57" s="456"/>
      <c r="DJ57" s="456"/>
      <c r="DK57" s="456"/>
      <c r="DL57" s="456"/>
      <c r="DM57" s="456"/>
      <c r="DN57" s="456"/>
      <c r="DO57" s="456"/>
      <c r="DP57" s="456"/>
      <c r="DQ57" s="456"/>
      <c r="DR57" s="456"/>
      <c r="DS57" s="456"/>
      <c r="DT57" s="456"/>
      <c r="DU57" s="456"/>
      <c r="DV57" s="456"/>
      <c r="DW57" s="456"/>
      <c r="DX57" s="456"/>
      <c r="DY57" s="456"/>
      <c r="DZ57" s="456"/>
      <c r="EA57" s="456"/>
      <c r="EB57" s="456"/>
      <c r="EC57" s="456"/>
      <c r="ED57" s="456"/>
      <c r="EE57" s="456"/>
      <c r="EF57" s="456"/>
      <c r="EG57" s="456"/>
      <c r="EH57" s="456"/>
      <c r="EI57" s="456"/>
      <c r="EJ57" s="456"/>
      <c r="EK57" s="456"/>
      <c r="EL57" s="456"/>
      <c r="EM57" s="456"/>
      <c r="EN57" s="456"/>
      <c r="EO57" s="456"/>
      <c r="EP57" s="456"/>
      <c r="EQ57" s="456"/>
      <c r="ER57" s="456"/>
      <c r="ES57" s="456"/>
      <c r="ET57" s="456"/>
      <c r="EU57" s="456"/>
      <c r="EV57" s="456"/>
      <c r="EW57" s="456"/>
      <c r="EX57" s="456"/>
      <c r="EY57" s="456"/>
      <c r="EZ57" s="456"/>
      <c r="FA57" s="456"/>
      <c r="FB57" s="456"/>
      <c r="FC57" s="456"/>
      <c r="FD57" s="456"/>
      <c r="FE57" s="456"/>
      <c r="FF57" s="456"/>
      <c r="FG57" s="456"/>
      <c r="FH57" s="456"/>
      <c r="FI57" s="456"/>
      <c r="FJ57" s="456"/>
      <c r="FK57" s="456"/>
      <c r="FL57" s="456"/>
      <c r="FM57" s="456"/>
      <c r="FN57" s="456"/>
      <c r="FO57" s="456"/>
      <c r="FP57" s="456"/>
      <c r="FQ57" s="456"/>
      <c r="FR57" s="456"/>
      <c r="FS57" s="456"/>
      <c r="FT57" s="456"/>
      <c r="FU57" s="456"/>
      <c r="FV57" s="456"/>
      <c r="FW57" s="456"/>
      <c r="FX57" s="456"/>
      <c r="FY57" s="456"/>
      <c r="FZ57" s="456"/>
      <c r="GA57" s="456"/>
      <c r="GB57" s="456"/>
      <c r="GC57" s="456"/>
      <c r="GD57" s="456"/>
      <c r="GE57" s="456"/>
      <c r="GF57" s="456"/>
      <c r="GG57" s="456"/>
      <c r="GH57" s="456"/>
      <c r="GI57" s="456"/>
      <c r="GJ57" s="456"/>
      <c r="GK57" s="456"/>
      <c r="GL57" s="456"/>
      <c r="GM57" s="456"/>
      <c r="GN57" s="456"/>
      <c r="GO57" s="456"/>
      <c r="GP57" s="456"/>
      <c r="GQ57" s="456"/>
      <c r="GR57" s="456"/>
      <c r="GS57" s="456"/>
      <c r="GT57" s="456"/>
      <c r="GU57" s="456"/>
      <c r="GV57" s="456"/>
      <c r="GW57" s="456"/>
      <c r="GX57" s="456"/>
      <c r="GY57" s="456"/>
      <c r="GZ57" s="456"/>
      <c r="HA57" s="456"/>
      <c r="HB57" s="456"/>
      <c r="HC57" s="456"/>
      <c r="HD57" s="456"/>
      <c r="HE57" s="456"/>
      <c r="HF57" s="456"/>
      <c r="HG57" s="456"/>
      <c r="HH57" s="456"/>
      <c r="HI57" s="456"/>
      <c r="HJ57" s="456"/>
      <c r="HK57" s="456"/>
      <c r="HL57" s="456"/>
      <c r="HM57" s="456"/>
      <c r="HN57" s="456"/>
      <c r="HO57" s="456"/>
      <c r="HP57" s="456"/>
      <c r="HQ57" s="456"/>
      <c r="HR57" s="456"/>
      <c r="HS57" s="456"/>
      <c r="HT57" s="456"/>
      <c r="HU57" s="456"/>
      <c r="HV57" s="456"/>
      <c r="HW57" s="456"/>
      <c r="HX57" s="456"/>
      <c r="HY57" s="456"/>
      <c r="HZ57" s="456"/>
      <c r="IA57" s="456"/>
      <c r="IB57" s="456"/>
      <c r="IC57" s="456"/>
      <c r="ID57" s="456"/>
      <c r="IE57" s="456"/>
      <c r="IF57" s="456"/>
    </row>
    <row r="58" spans="1:240" s="191" customFormat="1" ht="150" customHeight="1" x14ac:dyDescent="0.2">
      <c r="A58" s="21">
        <f t="shared" si="0"/>
        <v>52</v>
      </c>
      <c r="B58" s="10" t="s">
        <v>97</v>
      </c>
      <c r="C58" s="184">
        <v>33</v>
      </c>
      <c r="D58" s="10" t="s">
        <v>24</v>
      </c>
      <c r="E58" s="173" t="s">
        <v>98</v>
      </c>
      <c r="F58" s="9" t="s">
        <v>99</v>
      </c>
      <c r="H58" s="184" t="s">
        <v>63</v>
      </c>
      <c r="I58" s="26">
        <v>17368600</v>
      </c>
      <c r="J58" s="26"/>
      <c r="K58" s="5">
        <v>42587</v>
      </c>
      <c r="L58" s="451">
        <v>42592</v>
      </c>
      <c r="M58" s="451">
        <v>42597</v>
      </c>
      <c r="N58" s="6">
        <v>60</v>
      </c>
      <c r="O58" s="451">
        <v>42652</v>
      </c>
      <c r="P58" s="189">
        <v>81112502</v>
      </c>
      <c r="Q58" s="10" t="s">
        <v>254</v>
      </c>
      <c r="R58" s="11" t="s">
        <v>699</v>
      </c>
      <c r="S58" s="220" t="s">
        <v>340</v>
      </c>
      <c r="T58" s="455"/>
      <c r="U58" s="220"/>
      <c r="V58" s="455"/>
      <c r="W58" s="455"/>
      <c r="X58" s="455"/>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456"/>
      <c r="BX58" s="456"/>
      <c r="BY58" s="456"/>
      <c r="BZ58" s="456"/>
      <c r="CA58" s="456"/>
      <c r="CB58" s="456"/>
      <c r="CC58" s="456"/>
      <c r="CD58" s="456"/>
      <c r="CE58" s="456"/>
      <c r="CF58" s="456"/>
      <c r="CG58" s="456"/>
      <c r="CH58" s="456"/>
      <c r="CI58" s="456"/>
      <c r="CJ58" s="456"/>
      <c r="CK58" s="456"/>
      <c r="CL58" s="456"/>
      <c r="CM58" s="456"/>
      <c r="CN58" s="456"/>
      <c r="CO58" s="456"/>
      <c r="CP58" s="456"/>
      <c r="CQ58" s="456"/>
      <c r="CR58" s="456"/>
      <c r="CS58" s="456"/>
      <c r="CT58" s="456"/>
      <c r="CU58" s="456"/>
      <c r="CV58" s="456"/>
      <c r="CW58" s="456"/>
      <c r="CX58" s="456"/>
      <c r="CY58" s="456"/>
      <c r="CZ58" s="456"/>
      <c r="DA58" s="456"/>
      <c r="DB58" s="456"/>
      <c r="DC58" s="456"/>
      <c r="DD58" s="456"/>
      <c r="DE58" s="456"/>
      <c r="DF58" s="456"/>
      <c r="DG58" s="456"/>
      <c r="DH58" s="456"/>
      <c r="DI58" s="456"/>
      <c r="DJ58" s="456"/>
      <c r="DK58" s="456"/>
      <c r="DL58" s="456"/>
      <c r="DM58" s="456"/>
      <c r="DN58" s="456"/>
      <c r="DO58" s="456"/>
      <c r="DP58" s="456"/>
      <c r="DQ58" s="456"/>
      <c r="DR58" s="456"/>
      <c r="DS58" s="456"/>
      <c r="DT58" s="456"/>
      <c r="DU58" s="456"/>
      <c r="DV58" s="456"/>
      <c r="DW58" s="456"/>
      <c r="DX58" s="456"/>
      <c r="DY58" s="456"/>
      <c r="DZ58" s="456"/>
      <c r="EA58" s="456"/>
      <c r="EB58" s="456"/>
      <c r="EC58" s="456"/>
      <c r="ED58" s="456"/>
      <c r="EE58" s="456"/>
      <c r="EF58" s="456"/>
      <c r="EG58" s="456"/>
      <c r="EH58" s="456"/>
      <c r="EI58" s="456"/>
      <c r="EJ58" s="456"/>
      <c r="EK58" s="456"/>
      <c r="EL58" s="456"/>
      <c r="EM58" s="456"/>
      <c r="EN58" s="456"/>
      <c r="EO58" s="456"/>
      <c r="EP58" s="456"/>
      <c r="EQ58" s="456"/>
      <c r="ER58" s="456"/>
      <c r="ES58" s="456"/>
      <c r="ET58" s="456"/>
      <c r="EU58" s="456"/>
      <c r="EV58" s="456"/>
      <c r="EW58" s="456"/>
      <c r="EX58" s="456"/>
      <c r="EY58" s="456"/>
      <c r="EZ58" s="456"/>
      <c r="FA58" s="456"/>
      <c r="FB58" s="456"/>
      <c r="FC58" s="456"/>
      <c r="FD58" s="456"/>
      <c r="FE58" s="456"/>
      <c r="FF58" s="456"/>
      <c r="FG58" s="456"/>
      <c r="FH58" s="456"/>
      <c r="FI58" s="456"/>
      <c r="FJ58" s="456"/>
      <c r="FK58" s="456"/>
      <c r="FL58" s="456"/>
      <c r="FM58" s="456"/>
      <c r="FN58" s="456"/>
      <c r="FO58" s="456"/>
      <c r="FP58" s="456"/>
      <c r="FQ58" s="456"/>
      <c r="FR58" s="456"/>
      <c r="FS58" s="456"/>
      <c r="FT58" s="456"/>
      <c r="FU58" s="456"/>
      <c r="FV58" s="456"/>
      <c r="FW58" s="456"/>
      <c r="FX58" s="456"/>
      <c r="FY58" s="456"/>
      <c r="FZ58" s="456"/>
      <c r="GA58" s="456"/>
      <c r="GB58" s="456"/>
      <c r="GC58" s="456"/>
      <c r="GD58" s="456"/>
      <c r="GE58" s="456"/>
      <c r="GF58" s="456"/>
      <c r="GG58" s="456"/>
      <c r="GH58" s="456"/>
      <c r="GI58" s="456"/>
      <c r="GJ58" s="456"/>
      <c r="GK58" s="456"/>
      <c r="GL58" s="456"/>
      <c r="GM58" s="456"/>
      <c r="GN58" s="456"/>
      <c r="GO58" s="456"/>
      <c r="GP58" s="456"/>
      <c r="GQ58" s="456"/>
      <c r="GR58" s="456"/>
      <c r="GS58" s="456"/>
      <c r="GT58" s="456"/>
      <c r="GU58" s="456"/>
      <c r="GV58" s="456"/>
      <c r="GW58" s="456"/>
      <c r="GX58" s="456"/>
      <c r="GY58" s="456"/>
      <c r="GZ58" s="456"/>
      <c r="HA58" s="456"/>
      <c r="HB58" s="456"/>
      <c r="HC58" s="456"/>
      <c r="HD58" s="456"/>
      <c r="HE58" s="456"/>
      <c r="HF58" s="456"/>
      <c r="HG58" s="456"/>
      <c r="HH58" s="456"/>
      <c r="HI58" s="456"/>
      <c r="HJ58" s="456"/>
      <c r="HK58" s="456"/>
      <c r="HL58" s="456"/>
      <c r="HM58" s="456"/>
      <c r="HN58" s="456"/>
      <c r="HO58" s="456"/>
      <c r="HP58" s="456"/>
      <c r="HQ58" s="456"/>
      <c r="HR58" s="456"/>
      <c r="HS58" s="456"/>
      <c r="HT58" s="456"/>
      <c r="HU58" s="456"/>
      <c r="HV58" s="456"/>
      <c r="HW58" s="456"/>
      <c r="HX58" s="456"/>
      <c r="HY58" s="456"/>
      <c r="HZ58" s="456"/>
      <c r="IA58" s="456"/>
      <c r="IB58" s="456"/>
      <c r="IC58" s="456"/>
      <c r="ID58" s="456"/>
      <c r="IE58" s="456"/>
      <c r="IF58" s="456"/>
    </row>
    <row r="59" spans="1:240" s="595" customFormat="1" ht="286.5" customHeight="1" x14ac:dyDescent="0.2">
      <c r="A59" s="21">
        <f t="shared" si="0"/>
        <v>53</v>
      </c>
      <c r="B59" s="481" t="s">
        <v>97</v>
      </c>
      <c r="C59" s="577">
        <v>33</v>
      </c>
      <c r="D59" s="481" t="s">
        <v>24</v>
      </c>
      <c r="E59" s="588" t="s">
        <v>98</v>
      </c>
      <c r="F59" s="527" t="s">
        <v>99</v>
      </c>
      <c r="G59" s="527" t="s">
        <v>590</v>
      </c>
      <c r="H59" s="577" t="s">
        <v>63</v>
      </c>
      <c r="I59" s="519">
        <v>1931400</v>
      </c>
      <c r="J59" s="519">
        <v>1931400</v>
      </c>
      <c r="K59" s="520">
        <v>42436</v>
      </c>
      <c r="L59" s="596">
        <v>42436</v>
      </c>
      <c r="M59" s="596">
        <v>42437</v>
      </c>
      <c r="N59" s="533">
        <v>30</v>
      </c>
      <c r="O59" s="596">
        <v>42467</v>
      </c>
      <c r="P59" s="578" t="s">
        <v>595</v>
      </c>
      <c r="Q59" s="481" t="s">
        <v>618</v>
      </c>
      <c r="R59" s="544" t="s">
        <v>598</v>
      </c>
      <c r="S59" s="591" t="s">
        <v>340</v>
      </c>
      <c r="T59" s="597" t="s">
        <v>652</v>
      </c>
      <c r="U59" s="591" t="s">
        <v>546</v>
      </c>
      <c r="V59" s="593"/>
      <c r="W59" s="591" t="s">
        <v>497</v>
      </c>
      <c r="X59" s="593"/>
      <c r="Y59" s="594"/>
      <c r="Z59" s="594"/>
      <c r="AA59" s="582"/>
      <c r="AB59" s="594"/>
      <c r="AC59" s="594"/>
      <c r="AD59" s="594"/>
      <c r="AE59" s="594"/>
      <c r="AF59" s="594"/>
      <c r="AG59" s="594"/>
      <c r="AH59" s="594"/>
      <c r="AI59" s="594"/>
      <c r="AJ59" s="594"/>
      <c r="AK59" s="594"/>
      <c r="AL59" s="594"/>
      <c r="AM59" s="594"/>
      <c r="AN59" s="594"/>
      <c r="AO59" s="594"/>
      <c r="AP59" s="594"/>
      <c r="AQ59" s="594"/>
      <c r="AR59" s="594"/>
      <c r="AS59" s="594"/>
      <c r="AT59" s="594"/>
      <c r="AU59" s="594"/>
      <c r="AV59" s="594"/>
      <c r="AW59" s="594"/>
      <c r="AX59" s="594"/>
      <c r="AY59" s="594"/>
      <c r="AZ59" s="594"/>
      <c r="BA59" s="594"/>
      <c r="BB59" s="594"/>
      <c r="BC59" s="594"/>
      <c r="BD59" s="594"/>
      <c r="BE59" s="594"/>
      <c r="BF59" s="594"/>
      <c r="BG59" s="594"/>
      <c r="BH59" s="594"/>
      <c r="BI59" s="594"/>
      <c r="BJ59" s="594"/>
      <c r="BK59" s="594"/>
      <c r="BL59" s="594"/>
      <c r="BM59" s="594"/>
      <c r="BN59" s="594"/>
      <c r="BO59" s="594"/>
      <c r="BP59" s="594"/>
      <c r="BQ59" s="594"/>
      <c r="BR59" s="594"/>
      <c r="BS59" s="594"/>
      <c r="BT59" s="594"/>
      <c r="BU59" s="594"/>
      <c r="BV59" s="594"/>
      <c r="BW59" s="594"/>
      <c r="BX59" s="594"/>
      <c r="BY59" s="594"/>
      <c r="BZ59" s="594"/>
      <c r="CA59" s="594"/>
      <c r="CB59" s="594"/>
      <c r="CC59" s="594"/>
      <c r="CD59" s="594"/>
      <c r="CE59" s="594"/>
      <c r="CF59" s="594"/>
      <c r="CG59" s="594"/>
      <c r="CH59" s="594"/>
      <c r="CI59" s="594"/>
      <c r="CJ59" s="594"/>
      <c r="CK59" s="594"/>
      <c r="CL59" s="594"/>
      <c r="CM59" s="594"/>
      <c r="CN59" s="594"/>
      <c r="CO59" s="594"/>
      <c r="CP59" s="594"/>
      <c r="CQ59" s="594"/>
      <c r="CR59" s="594"/>
      <c r="CS59" s="594"/>
      <c r="CT59" s="594"/>
      <c r="CU59" s="594"/>
      <c r="CV59" s="594"/>
      <c r="CW59" s="594"/>
      <c r="CX59" s="594"/>
      <c r="CY59" s="594"/>
      <c r="CZ59" s="594"/>
      <c r="DA59" s="594"/>
      <c r="DB59" s="594"/>
      <c r="DC59" s="594"/>
      <c r="DD59" s="594"/>
      <c r="DE59" s="594"/>
      <c r="DF59" s="594"/>
      <c r="DG59" s="594"/>
      <c r="DH59" s="594"/>
      <c r="DI59" s="594"/>
      <c r="DJ59" s="594"/>
      <c r="DK59" s="594"/>
      <c r="DL59" s="594"/>
      <c r="DM59" s="594"/>
      <c r="DN59" s="594"/>
      <c r="DO59" s="594"/>
      <c r="DP59" s="594"/>
      <c r="DQ59" s="594"/>
      <c r="DR59" s="594"/>
      <c r="DS59" s="594"/>
      <c r="DT59" s="594"/>
      <c r="DU59" s="594"/>
      <c r="DV59" s="594"/>
      <c r="DW59" s="594"/>
      <c r="DX59" s="594"/>
      <c r="DY59" s="594"/>
      <c r="DZ59" s="594"/>
      <c r="EA59" s="594"/>
      <c r="EB59" s="594"/>
      <c r="EC59" s="594"/>
      <c r="ED59" s="594"/>
      <c r="EE59" s="594"/>
      <c r="EF59" s="594"/>
      <c r="EG59" s="594"/>
      <c r="EH59" s="594"/>
      <c r="EI59" s="594"/>
      <c r="EJ59" s="594"/>
      <c r="EK59" s="594"/>
      <c r="EL59" s="594"/>
      <c r="EM59" s="594"/>
      <c r="EN59" s="594"/>
      <c r="EO59" s="594"/>
      <c r="EP59" s="594"/>
      <c r="EQ59" s="594"/>
      <c r="ER59" s="594"/>
      <c r="ES59" s="594"/>
      <c r="ET59" s="594"/>
      <c r="EU59" s="594"/>
      <c r="EV59" s="594"/>
      <c r="EW59" s="594"/>
      <c r="EX59" s="594"/>
      <c r="EY59" s="594"/>
      <c r="EZ59" s="594"/>
      <c r="FA59" s="594"/>
      <c r="FB59" s="594"/>
      <c r="FC59" s="594"/>
      <c r="FD59" s="594"/>
      <c r="FE59" s="594"/>
      <c r="FF59" s="594"/>
      <c r="FG59" s="594"/>
      <c r="FH59" s="594"/>
      <c r="FI59" s="594"/>
      <c r="FJ59" s="594"/>
      <c r="FK59" s="594"/>
      <c r="FL59" s="594"/>
      <c r="FM59" s="594"/>
      <c r="FN59" s="594"/>
      <c r="FO59" s="594"/>
      <c r="FP59" s="594"/>
      <c r="FQ59" s="594"/>
      <c r="FR59" s="594"/>
      <c r="FS59" s="594"/>
      <c r="FT59" s="594"/>
      <c r="FU59" s="594"/>
      <c r="FV59" s="594"/>
      <c r="FW59" s="594"/>
      <c r="FX59" s="594"/>
      <c r="FY59" s="594"/>
      <c r="FZ59" s="594"/>
      <c r="GA59" s="594"/>
      <c r="GB59" s="594"/>
      <c r="GC59" s="594"/>
      <c r="GD59" s="594"/>
      <c r="GE59" s="594"/>
      <c r="GF59" s="594"/>
      <c r="GG59" s="594"/>
      <c r="GH59" s="594"/>
      <c r="GI59" s="594"/>
      <c r="GJ59" s="594"/>
      <c r="GK59" s="594"/>
      <c r="GL59" s="594"/>
      <c r="GM59" s="594"/>
      <c r="GN59" s="594"/>
      <c r="GO59" s="594"/>
      <c r="GP59" s="594"/>
      <c r="GQ59" s="594"/>
      <c r="GR59" s="594"/>
      <c r="GS59" s="594"/>
      <c r="GT59" s="594"/>
      <c r="GU59" s="594"/>
      <c r="GV59" s="594"/>
      <c r="GW59" s="594"/>
      <c r="GX59" s="594"/>
      <c r="GY59" s="594"/>
      <c r="GZ59" s="594"/>
      <c r="HA59" s="594"/>
      <c r="HB59" s="594"/>
      <c r="HC59" s="594"/>
      <c r="HD59" s="594"/>
      <c r="HE59" s="594"/>
      <c r="HF59" s="594"/>
      <c r="HG59" s="594"/>
      <c r="HH59" s="594"/>
      <c r="HI59" s="594"/>
      <c r="HJ59" s="594"/>
      <c r="HK59" s="594"/>
      <c r="HL59" s="594"/>
      <c r="HM59" s="594"/>
      <c r="HN59" s="594"/>
      <c r="HO59" s="594"/>
      <c r="HP59" s="594"/>
      <c r="HQ59" s="594"/>
      <c r="HR59" s="594"/>
      <c r="HS59" s="594"/>
      <c r="HT59" s="594"/>
      <c r="HU59" s="594"/>
      <c r="HV59" s="594"/>
      <c r="HW59" s="594"/>
      <c r="HX59" s="594"/>
      <c r="HY59" s="594"/>
      <c r="HZ59" s="594"/>
      <c r="IA59" s="594"/>
      <c r="IB59" s="594"/>
      <c r="IC59" s="594"/>
      <c r="ID59" s="594"/>
      <c r="IE59" s="594"/>
      <c r="IF59" s="594"/>
    </row>
    <row r="60" spans="1:240" s="595" customFormat="1" ht="287.25" customHeight="1" x14ac:dyDescent="0.2">
      <c r="A60" s="21">
        <f t="shared" si="0"/>
        <v>54</v>
      </c>
      <c r="B60" s="481" t="s">
        <v>97</v>
      </c>
      <c r="C60" s="577">
        <v>33</v>
      </c>
      <c r="D60" s="481" t="s">
        <v>24</v>
      </c>
      <c r="E60" s="588" t="s">
        <v>98</v>
      </c>
      <c r="F60" s="527" t="s">
        <v>99</v>
      </c>
      <c r="G60" s="527" t="s">
        <v>590</v>
      </c>
      <c r="H60" s="577" t="s">
        <v>63</v>
      </c>
      <c r="I60" s="519">
        <v>1500000</v>
      </c>
      <c r="J60" s="519">
        <v>1500000</v>
      </c>
      <c r="K60" s="520">
        <v>42436</v>
      </c>
      <c r="L60" s="596">
        <v>42436</v>
      </c>
      <c r="M60" s="596">
        <v>42437</v>
      </c>
      <c r="N60" s="533">
        <v>30</v>
      </c>
      <c r="O60" s="596">
        <v>42467</v>
      </c>
      <c r="P60" s="578" t="s">
        <v>595</v>
      </c>
      <c r="Q60" s="481" t="s">
        <v>618</v>
      </c>
      <c r="R60" s="598" t="s">
        <v>598</v>
      </c>
      <c r="S60" s="591" t="s">
        <v>340</v>
      </c>
      <c r="T60" s="482" t="s">
        <v>700</v>
      </c>
      <c r="U60" s="591" t="s">
        <v>546</v>
      </c>
      <c r="V60" s="593"/>
      <c r="W60" s="591" t="s">
        <v>497</v>
      </c>
      <c r="X60" s="593"/>
      <c r="Y60" s="594"/>
      <c r="Z60" s="594"/>
      <c r="AA60" s="582"/>
      <c r="AB60" s="594"/>
      <c r="AC60" s="594"/>
      <c r="AD60" s="594"/>
      <c r="AE60" s="594"/>
      <c r="AF60" s="594"/>
      <c r="AG60" s="594"/>
      <c r="AH60" s="594"/>
      <c r="AI60" s="594"/>
      <c r="AJ60" s="594"/>
      <c r="AK60" s="594"/>
      <c r="AL60" s="594"/>
      <c r="AM60" s="594"/>
      <c r="AN60" s="594"/>
      <c r="AO60" s="594"/>
      <c r="AP60" s="594"/>
      <c r="AQ60" s="594"/>
      <c r="AR60" s="594"/>
      <c r="AS60" s="594"/>
      <c r="AT60" s="594"/>
      <c r="AU60" s="594"/>
      <c r="AV60" s="594"/>
      <c r="AW60" s="594"/>
      <c r="AX60" s="594"/>
      <c r="AY60" s="594"/>
      <c r="AZ60" s="594"/>
      <c r="BA60" s="594"/>
      <c r="BB60" s="594"/>
      <c r="BC60" s="594"/>
      <c r="BD60" s="594"/>
      <c r="BE60" s="594"/>
      <c r="BF60" s="594"/>
      <c r="BG60" s="594"/>
      <c r="BH60" s="594"/>
      <c r="BI60" s="594"/>
      <c r="BJ60" s="594"/>
      <c r="BK60" s="594"/>
      <c r="BL60" s="594"/>
      <c r="BM60" s="594"/>
      <c r="BN60" s="594"/>
      <c r="BO60" s="594"/>
      <c r="BP60" s="594"/>
      <c r="BQ60" s="594"/>
      <c r="BR60" s="594"/>
      <c r="BS60" s="594"/>
      <c r="BT60" s="594"/>
      <c r="BU60" s="594"/>
      <c r="BV60" s="594"/>
      <c r="BW60" s="594"/>
      <c r="BX60" s="594"/>
      <c r="BY60" s="594"/>
      <c r="BZ60" s="594"/>
      <c r="CA60" s="594"/>
      <c r="CB60" s="594"/>
      <c r="CC60" s="594"/>
      <c r="CD60" s="594"/>
      <c r="CE60" s="594"/>
      <c r="CF60" s="594"/>
      <c r="CG60" s="594"/>
      <c r="CH60" s="594"/>
      <c r="CI60" s="594"/>
      <c r="CJ60" s="594"/>
      <c r="CK60" s="594"/>
      <c r="CL60" s="594"/>
      <c r="CM60" s="594"/>
      <c r="CN60" s="594"/>
      <c r="CO60" s="594"/>
      <c r="CP60" s="594"/>
      <c r="CQ60" s="594"/>
      <c r="CR60" s="594"/>
      <c r="CS60" s="594"/>
      <c r="CT60" s="594"/>
      <c r="CU60" s="594"/>
      <c r="CV60" s="594"/>
      <c r="CW60" s="594"/>
      <c r="CX60" s="594"/>
      <c r="CY60" s="594"/>
      <c r="CZ60" s="594"/>
      <c r="DA60" s="594"/>
      <c r="DB60" s="594"/>
      <c r="DC60" s="594"/>
      <c r="DD60" s="594"/>
      <c r="DE60" s="594"/>
      <c r="DF60" s="594"/>
      <c r="DG60" s="594"/>
      <c r="DH60" s="594"/>
      <c r="DI60" s="594"/>
      <c r="DJ60" s="594"/>
      <c r="DK60" s="594"/>
      <c r="DL60" s="594"/>
      <c r="DM60" s="594"/>
      <c r="DN60" s="594"/>
      <c r="DO60" s="594"/>
      <c r="DP60" s="594"/>
      <c r="DQ60" s="594"/>
      <c r="DR60" s="594"/>
      <c r="DS60" s="594"/>
      <c r="DT60" s="594"/>
      <c r="DU60" s="594"/>
      <c r="DV60" s="594"/>
      <c r="DW60" s="594"/>
      <c r="DX60" s="594"/>
      <c r="DY60" s="594"/>
      <c r="DZ60" s="594"/>
      <c r="EA60" s="594"/>
      <c r="EB60" s="594"/>
      <c r="EC60" s="594"/>
      <c r="ED60" s="594"/>
      <c r="EE60" s="594"/>
      <c r="EF60" s="594"/>
      <c r="EG60" s="594"/>
      <c r="EH60" s="594"/>
      <c r="EI60" s="594"/>
      <c r="EJ60" s="594"/>
      <c r="EK60" s="594"/>
      <c r="EL60" s="594"/>
      <c r="EM60" s="594"/>
      <c r="EN60" s="594"/>
      <c r="EO60" s="594"/>
      <c r="EP60" s="594"/>
      <c r="EQ60" s="594"/>
      <c r="ER60" s="594"/>
      <c r="ES60" s="594"/>
      <c r="ET60" s="594"/>
      <c r="EU60" s="594"/>
      <c r="EV60" s="594"/>
      <c r="EW60" s="594"/>
      <c r="EX60" s="594"/>
      <c r="EY60" s="594"/>
      <c r="EZ60" s="594"/>
      <c r="FA60" s="594"/>
      <c r="FB60" s="594"/>
      <c r="FC60" s="594"/>
      <c r="FD60" s="594"/>
      <c r="FE60" s="594"/>
      <c r="FF60" s="594"/>
      <c r="FG60" s="594"/>
      <c r="FH60" s="594"/>
      <c r="FI60" s="594"/>
      <c r="FJ60" s="594"/>
      <c r="FK60" s="594"/>
      <c r="FL60" s="594"/>
      <c r="FM60" s="594"/>
      <c r="FN60" s="594"/>
      <c r="FO60" s="594"/>
      <c r="FP60" s="594"/>
      <c r="FQ60" s="594"/>
      <c r="FR60" s="594"/>
      <c r="FS60" s="594"/>
      <c r="FT60" s="594"/>
      <c r="FU60" s="594"/>
      <c r="FV60" s="594"/>
      <c r="FW60" s="594"/>
      <c r="FX60" s="594"/>
      <c r="FY60" s="594"/>
      <c r="FZ60" s="594"/>
      <c r="GA60" s="594"/>
      <c r="GB60" s="594"/>
      <c r="GC60" s="594"/>
      <c r="GD60" s="594"/>
      <c r="GE60" s="594"/>
      <c r="GF60" s="594"/>
      <c r="GG60" s="594"/>
      <c r="GH60" s="594"/>
      <c r="GI60" s="594"/>
      <c r="GJ60" s="594"/>
      <c r="GK60" s="594"/>
      <c r="GL60" s="594"/>
      <c r="GM60" s="594"/>
      <c r="GN60" s="594"/>
      <c r="GO60" s="594"/>
      <c r="GP60" s="594"/>
      <c r="GQ60" s="594"/>
      <c r="GR60" s="594"/>
      <c r="GS60" s="594"/>
      <c r="GT60" s="594"/>
      <c r="GU60" s="594"/>
      <c r="GV60" s="594"/>
      <c r="GW60" s="594"/>
      <c r="GX60" s="594"/>
      <c r="GY60" s="594"/>
      <c r="GZ60" s="594"/>
      <c r="HA60" s="594"/>
      <c r="HB60" s="594"/>
      <c r="HC60" s="594"/>
      <c r="HD60" s="594"/>
      <c r="HE60" s="594"/>
      <c r="HF60" s="594"/>
      <c r="HG60" s="594"/>
      <c r="HH60" s="594"/>
      <c r="HI60" s="594"/>
      <c r="HJ60" s="594"/>
      <c r="HK60" s="594"/>
      <c r="HL60" s="594"/>
      <c r="HM60" s="594"/>
      <c r="HN60" s="594"/>
      <c r="HO60" s="594"/>
      <c r="HP60" s="594"/>
      <c r="HQ60" s="594"/>
      <c r="HR60" s="594"/>
      <c r="HS60" s="594"/>
      <c r="HT60" s="594"/>
      <c r="HU60" s="594"/>
      <c r="HV60" s="594"/>
      <c r="HW60" s="594"/>
      <c r="HX60" s="594"/>
      <c r="HY60" s="594"/>
      <c r="HZ60" s="594"/>
      <c r="IA60" s="594"/>
      <c r="IB60" s="594"/>
      <c r="IC60" s="594"/>
      <c r="ID60" s="594"/>
      <c r="IE60" s="594"/>
      <c r="IF60" s="594"/>
    </row>
    <row r="61" spans="1:240" s="191" customFormat="1" ht="72" customHeight="1" x14ac:dyDescent="0.2">
      <c r="A61" s="21">
        <f t="shared" si="0"/>
        <v>55</v>
      </c>
      <c r="B61" s="167" t="s">
        <v>97</v>
      </c>
      <c r="C61" s="168">
        <v>33</v>
      </c>
      <c r="D61" s="173" t="s">
        <v>24</v>
      </c>
      <c r="E61" s="173" t="s">
        <v>98</v>
      </c>
      <c r="F61" s="173" t="s">
        <v>99</v>
      </c>
      <c r="G61" s="173" t="s">
        <v>27</v>
      </c>
      <c r="H61" s="168" t="s">
        <v>63</v>
      </c>
      <c r="I61" s="454">
        <v>250000000</v>
      </c>
      <c r="J61" s="288"/>
      <c r="K61" s="512">
        <v>42581</v>
      </c>
      <c r="L61" s="451">
        <f>K61+60</f>
        <v>42641</v>
      </c>
      <c r="M61" s="451">
        <f>L61+5</f>
        <v>42646</v>
      </c>
      <c r="N61" s="6">
        <v>120</v>
      </c>
      <c r="O61" s="451">
        <f>M61+N61</f>
        <v>42766</v>
      </c>
      <c r="P61" s="189">
        <v>45111607</v>
      </c>
      <c r="Q61" s="10" t="s">
        <v>800</v>
      </c>
      <c r="R61" s="10" t="s">
        <v>796</v>
      </c>
      <c r="S61" s="220"/>
      <c r="T61" s="464"/>
      <c r="U61" s="220"/>
      <c r="V61" s="455"/>
      <c r="W61" s="220"/>
      <c r="X61" s="455"/>
      <c r="Y61" s="456"/>
      <c r="Z61" s="456"/>
      <c r="AA61" s="513"/>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c r="BO61" s="456"/>
      <c r="BP61" s="456"/>
      <c r="BQ61" s="456"/>
      <c r="BR61" s="456"/>
      <c r="BS61" s="456"/>
      <c r="BT61" s="456"/>
      <c r="BU61" s="456"/>
      <c r="BV61" s="456"/>
      <c r="BW61" s="456"/>
      <c r="BX61" s="456"/>
      <c r="BY61" s="456"/>
      <c r="BZ61" s="456"/>
      <c r="CA61" s="456"/>
      <c r="CB61" s="456"/>
      <c r="CC61" s="456"/>
      <c r="CD61" s="456"/>
      <c r="CE61" s="456"/>
      <c r="CF61" s="456"/>
      <c r="CG61" s="456"/>
      <c r="CH61" s="456"/>
      <c r="CI61" s="456"/>
      <c r="CJ61" s="456"/>
      <c r="CK61" s="456"/>
      <c r="CL61" s="456"/>
      <c r="CM61" s="456"/>
      <c r="CN61" s="456"/>
      <c r="CO61" s="456"/>
      <c r="CP61" s="456"/>
      <c r="CQ61" s="456"/>
      <c r="CR61" s="456"/>
      <c r="CS61" s="456"/>
      <c r="CT61" s="456"/>
      <c r="CU61" s="456"/>
      <c r="CV61" s="456"/>
      <c r="CW61" s="456"/>
      <c r="CX61" s="456"/>
      <c r="CY61" s="456"/>
      <c r="CZ61" s="456"/>
      <c r="DA61" s="456"/>
      <c r="DB61" s="456"/>
      <c r="DC61" s="456"/>
      <c r="DD61" s="456"/>
      <c r="DE61" s="456"/>
      <c r="DF61" s="456"/>
      <c r="DG61" s="456"/>
      <c r="DH61" s="456"/>
      <c r="DI61" s="456"/>
      <c r="DJ61" s="456"/>
      <c r="DK61" s="456"/>
      <c r="DL61" s="456"/>
      <c r="DM61" s="456"/>
      <c r="DN61" s="456"/>
      <c r="DO61" s="456"/>
      <c r="DP61" s="456"/>
      <c r="DQ61" s="456"/>
      <c r="DR61" s="456"/>
      <c r="DS61" s="456"/>
      <c r="DT61" s="456"/>
      <c r="DU61" s="456"/>
      <c r="DV61" s="456"/>
      <c r="DW61" s="456"/>
      <c r="DX61" s="456"/>
      <c r="DY61" s="456"/>
      <c r="DZ61" s="456"/>
      <c r="EA61" s="456"/>
      <c r="EB61" s="456"/>
      <c r="EC61" s="456"/>
      <c r="ED61" s="456"/>
      <c r="EE61" s="456"/>
      <c r="EF61" s="456"/>
      <c r="EG61" s="456"/>
      <c r="EH61" s="456"/>
      <c r="EI61" s="456"/>
      <c r="EJ61" s="456"/>
      <c r="EK61" s="456"/>
      <c r="EL61" s="456"/>
      <c r="EM61" s="456"/>
      <c r="EN61" s="456"/>
      <c r="EO61" s="456"/>
      <c r="EP61" s="456"/>
      <c r="EQ61" s="456"/>
      <c r="ER61" s="456"/>
      <c r="ES61" s="456"/>
      <c r="ET61" s="456"/>
      <c r="EU61" s="456"/>
      <c r="EV61" s="456"/>
      <c r="EW61" s="456"/>
      <c r="EX61" s="456"/>
      <c r="EY61" s="456"/>
      <c r="EZ61" s="456"/>
      <c r="FA61" s="456"/>
      <c r="FB61" s="456"/>
      <c r="FC61" s="456"/>
      <c r="FD61" s="456"/>
      <c r="FE61" s="456"/>
      <c r="FF61" s="456"/>
      <c r="FG61" s="456"/>
      <c r="FH61" s="456"/>
      <c r="FI61" s="456"/>
      <c r="FJ61" s="456"/>
      <c r="FK61" s="456"/>
      <c r="FL61" s="456"/>
      <c r="FM61" s="456"/>
      <c r="FN61" s="456"/>
      <c r="FO61" s="456"/>
      <c r="FP61" s="456"/>
      <c r="FQ61" s="456"/>
      <c r="FR61" s="456"/>
      <c r="FS61" s="456"/>
      <c r="FT61" s="456"/>
      <c r="FU61" s="456"/>
      <c r="FV61" s="456"/>
      <c r="FW61" s="456"/>
      <c r="FX61" s="456"/>
      <c r="FY61" s="456"/>
      <c r="FZ61" s="456"/>
      <c r="GA61" s="456"/>
      <c r="GB61" s="456"/>
      <c r="GC61" s="456"/>
      <c r="GD61" s="456"/>
      <c r="GE61" s="456"/>
      <c r="GF61" s="456"/>
      <c r="GG61" s="456"/>
      <c r="GH61" s="456"/>
      <c r="GI61" s="456"/>
      <c r="GJ61" s="456"/>
      <c r="GK61" s="456"/>
      <c r="GL61" s="456"/>
      <c r="GM61" s="456"/>
      <c r="GN61" s="456"/>
      <c r="GO61" s="456"/>
      <c r="GP61" s="456"/>
      <c r="GQ61" s="456"/>
      <c r="GR61" s="456"/>
      <c r="GS61" s="456"/>
      <c r="GT61" s="456"/>
      <c r="GU61" s="456"/>
      <c r="GV61" s="456"/>
      <c r="GW61" s="456"/>
      <c r="GX61" s="456"/>
      <c r="GY61" s="456"/>
      <c r="GZ61" s="456"/>
      <c r="HA61" s="456"/>
      <c r="HB61" s="456"/>
      <c r="HC61" s="456"/>
      <c r="HD61" s="456"/>
      <c r="HE61" s="456"/>
      <c r="HF61" s="456"/>
      <c r="HG61" s="456"/>
      <c r="HH61" s="456"/>
      <c r="HI61" s="456"/>
      <c r="HJ61" s="456"/>
      <c r="HK61" s="456"/>
      <c r="HL61" s="456"/>
      <c r="HM61" s="456"/>
      <c r="HN61" s="456"/>
      <c r="HO61" s="456"/>
      <c r="HP61" s="456"/>
      <c r="HQ61" s="456"/>
      <c r="HR61" s="456"/>
      <c r="HS61" s="456"/>
      <c r="HT61" s="456"/>
      <c r="HU61" s="456"/>
      <c r="HV61" s="456"/>
      <c r="HW61" s="456"/>
      <c r="HX61" s="456"/>
      <c r="HY61" s="456"/>
      <c r="HZ61" s="456"/>
      <c r="IA61" s="456"/>
      <c r="IB61" s="456"/>
      <c r="IC61" s="456"/>
      <c r="ID61" s="456"/>
      <c r="IE61" s="456"/>
      <c r="IF61" s="456"/>
    </row>
    <row r="62" spans="1:240" s="191" customFormat="1" ht="90" customHeight="1" x14ac:dyDescent="0.2">
      <c r="A62" s="21">
        <f t="shared" si="0"/>
        <v>56</v>
      </c>
      <c r="B62" s="167" t="s">
        <v>97</v>
      </c>
      <c r="C62" s="168">
        <v>33</v>
      </c>
      <c r="D62" s="173" t="s">
        <v>24</v>
      </c>
      <c r="E62" s="173" t="s">
        <v>98</v>
      </c>
      <c r="F62" s="173" t="s">
        <v>99</v>
      </c>
      <c r="G62" s="168" t="s">
        <v>795</v>
      </c>
      <c r="H62" s="168" t="s">
        <v>28</v>
      </c>
      <c r="I62" s="454">
        <f>4150000*10</f>
        <v>41500000</v>
      </c>
      <c r="J62" s="288"/>
      <c r="K62" s="512">
        <v>42536</v>
      </c>
      <c r="L62" s="451">
        <f t="shared" ref="L62:L64" si="3">K62+60</f>
        <v>42596</v>
      </c>
      <c r="M62" s="451">
        <f t="shared" ref="M62:M64" si="4">L62+5</f>
        <v>42601</v>
      </c>
      <c r="N62" s="6">
        <v>300</v>
      </c>
      <c r="O62" s="451">
        <f t="shared" ref="O62:O64" si="5">M62+N62</f>
        <v>42901</v>
      </c>
      <c r="P62" s="189">
        <v>81111811</v>
      </c>
      <c r="Q62" s="10" t="s">
        <v>801</v>
      </c>
      <c r="R62" s="514" t="s">
        <v>797</v>
      </c>
      <c r="S62" s="220"/>
      <c r="T62" s="464"/>
      <c r="U62" s="220"/>
      <c r="V62" s="455"/>
      <c r="W62" s="220"/>
      <c r="X62" s="455"/>
      <c r="Y62" s="456"/>
      <c r="Z62" s="456"/>
      <c r="AA62" s="513"/>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c r="BO62" s="456"/>
      <c r="BP62" s="456"/>
      <c r="BQ62" s="456"/>
      <c r="BR62" s="456"/>
      <c r="BS62" s="456"/>
      <c r="BT62" s="456"/>
      <c r="BU62" s="456"/>
      <c r="BV62" s="456"/>
      <c r="BW62" s="456"/>
      <c r="BX62" s="456"/>
      <c r="BY62" s="456"/>
      <c r="BZ62" s="456"/>
      <c r="CA62" s="456"/>
      <c r="CB62" s="456"/>
      <c r="CC62" s="456"/>
      <c r="CD62" s="456"/>
      <c r="CE62" s="456"/>
      <c r="CF62" s="456"/>
      <c r="CG62" s="456"/>
      <c r="CH62" s="456"/>
      <c r="CI62" s="456"/>
      <c r="CJ62" s="456"/>
      <c r="CK62" s="456"/>
      <c r="CL62" s="456"/>
      <c r="CM62" s="456"/>
      <c r="CN62" s="456"/>
      <c r="CO62" s="456"/>
      <c r="CP62" s="456"/>
      <c r="CQ62" s="456"/>
      <c r="CR62" s="456"/>
      <c r="CS62" s="456"/>
      <c r="CT62" s="456"/>
      <c r="CU62" s="456"/>
      <c r="CV62" s="456"/>
      <c r="CW62" s="456"/>
      <c r="CX62" s="456"/>
      <c r="CY62" s="456"/>
      <c r="CZ62" s="456"/>
      <c r="DA62" s="456"/>
      <c r="DB62" s="456"/>
      <c r="DC62" s="456"/>
      <c r="DD62" s="456"/>
      <c r="DE62" s="456"/>
      <c r="DF62" s="456"/>
      <c r="DG62" s="456"/>
      <c r="DH62" s="456"/>
      <c r="DI62" s="456"/>
      <c r="DJ62" s="456"/>
      <c r="DK62" s="456"/>
      <c r="DL62" s="456"/>
      <c r="DM62" s="456"/>
      <c r="DN62" s="456"/>
      <c r="DO62" s="456"/>
      <c r="DP62" s="456"/>
      <c r="DQ62" s="456"/>
      <c r="DR62" s="456"/>
      <c r="DS62" s="456"/>
      <c r="DT62" s="456"/>
      <c r="DU62" s="456"/>
      <c r="DV62" s="456"/>
      <c r="DW62" s="456"/>
      <c r="DX62" s="456"/>
      <c r="DY62" s="456"/>
      <c r="DZ62" s="456"/>
      <c r="EA62" s="456"/>
      <c r="EB62" s="456"/>
      <c r="EC62" s="456"/>
      <c r="ED62" s="456"/>
      <c r="EE62" s="456"/>
      <c r="EF62" s="456"/>
      <c r="EG62" s="456"/>
      <c r="EH62" s="456"/>
      <c r="EI62" s="456"/>
      <c r="EJ62" s="456"/>
      <c r="EK62" s="456"/>
      <c r="EL62" s="456"/>
      <c r="EM62" s="456"/>
      <c r="EN62" s="456"/>
      <c r="EO62" s="456"/>
      <c r="EP62" s="456"/>
      <c r="EQ62" s="456"/>
      <c r="ER62" s="456"/>
      <c r="ES62" s="456"/>
      <c r="ET62" s="456"/>
      <c r="EU62" s="456"/>
      <c r="EV62" s="456"/>
      <c r="EW62" s="456"/>
      <c r="EX62" s="456"/>
      <c r="EY62" s="456"/>
      <c r="EZ62" s="456"/>
      <c r="FA62" s="456"/>
      <c r="FB62" s="456"/>
      <c r="FC62" s="456"/>
      <c r="FD62" s="456"/>
      <c r="FE62" s="456"/>
      <c r="FF62" s="456"/>
      <c r="FG62" s="456"/>
      <c r="FH62" s="456"/>
      <c r="FI62" s="456"/>
      <c r="FJ62" s="456"/>
      <c r="FK62" s="456"/>
      <c r="FL62" s="456"/>
      <c r="FM62" s="456"/>
      <c r="FN62" s="456"/>
      <c r="FO62" s="456"/>
      <c r="FP62" s="456"/>
      <c r="FQ62" s="456"/>
      <c r="FR62" s="456"/>
      <c r="FS62" s="456"/>
      <c r="FT62" s="456"/>
      <c r="FU62" s="456"/>
      <c r="FV62" s="456"/>
      <c r="FW62" s="456"/>
      <c r="FX62" s="456"/>
      <c r="FY62" s="456"/>
      <c r="FZ62" s="456"/>
      <c r="GA62" s="456"/>
      <c r="GB62" s="456"/>
      <c r="GC62" s="456"/>
      <c r="GD62" s="456"/>
      <c r="GE62" s="456"/>
      <c r="GF62" s="456"/>
      <c r="GG62" s="456"/>
      <c r="GH62" s="456"/>
      <c r="GI62" s="456"/>
      <c r="GJ62" s="456"/>
      <c r="GK62" s="456"/>
      <c r="GL62" s="456"/>
      <c r="GM62" s="456"/>
      <c r="GN62" s="456"/>
      <c r="GO62" s="456"/>
      <c r="GP62" s="456"/>
      <c r="GQ62" s="456"/>
      <c r="GR62" s="456"/>
      <c r="GS62" s="456"/>
      <c r="GT62" s="456"/>
      <c r="GU62" s="456"/>
      <c r="GV62" s="456"/>
      <c r="GW62" s="456"/>
      <c r="GX62" s="456"/>
      <c r="GY62" s="456"/>
      <c r="GZ62" s="456"/>
      <c r="HA62" s="456"/>
      <c r="HB62" s="456"/>
      <c r="HC62" s="456"/>
      <c r="HD62" s="456"/>
      <c r="HE62" s="456"/>
      <c r="HF62" s="456"/>
      <c r="HG62" s="456"/>
      <c r="HH62" s="456"/>
      <c r="HI62" s="456"/>
      <c r="HJ62" s="456"/>
      <c r="HK62" s="456"/>
      <c r="HL62" s="456"/>
      <c r="HM62" s="456"/>
      <c r="HN62" s="456"/>
      <c r="HO62" s="456"/>
      <c r="HP62" s="456"/>
      <c r="HQ62" s="456"/>
      <c r="HR62" s="456"/>
      <c r="HS62" s="456"/>
      <c r="HT62" s="456"/>
      <c r="HU62" s="456"/>
      <c r="HV62" s="456"/>
      <c r="HW62" s="456"/>
      <c r="HX62" s="456"/>
      <c r="HY62" s="456"/>
      <c r="HZ62" s="456"/>
      <c r="IA62" s="456"/>
      <c r="IB62" s="456"/>
      <c r="IC62" s="456"/>
      <c r="ID62" s="456"/>
      <c r="IE62" s="456"/>
      <c r="IF62" s="456"/>
    </row>
    <row r="63" spans="1:240" s="191" customFormat="1" ht="84" customHeight="1" x14ac:dyDescent="0.2">
      <c r="A63" s="21">
        <f t="shared" si="0"/>
        <v>57</v>
      </c>
      <c r="B63" s="167" t="s">
        <v>97</v>
      </c>
      <c r="C63" s="168">
        <v>33</v>
      </c>
      <c r="D63" s="173" t="s">
        <v>24</v>
      </c>
      <c r="E63" s="173" t="s">
        <v>98</v>
      </c>
      <c r="F63" s="173" t="s">
        <v>99</v>
      </c>
      <c r="G63" s="168" t="s">
        <v>795</v>
      </c>
      <c r="H63" s="168" t="s">
        <v>28</v>
      </c>
      <c r="I63" s="454">
        <f>7000000*6</f>
        <v>42000000</v>
      </c>
      <c r="J63" s="288"/>
      <c r="K63" s="512">
        <v>42551</v>
      </c>
      <c r="L63" s="451">
        <f t="shared" si="3"/>
        <v>42611</v>
      </c>
      <c r="M63" s="451">
        <f t="shared" si="4"/>
        <v>42616</v>
      </c>
      <c r="N63" s="6">
        <v>180</v>
      </c>
      <c r="O63" s="451">
        <f t="shared" si="5"/>
        <v>42796</v>
      </c>
      <c r="P63" s="189">
        <v>81111811</v>
      </c>
      <c r="Q63" s="10" t="s">
        <v>802</v>
      </c>
      <c r="R63" s="514" t="s">
        <v>798</v>
      </c>
      <c r="S63" s="220"/>
      <c r="T63" s="464"/>
      <c r="U63" s="220"/>
      <c r="V63" s="455"/>
      <c r="W63" s="220"/>
      <c r="X63" s="455"/>
      <c r="Y63" s="456"/>
      <c r="Z63" s="456"/>
      <c r="AA63" s="513"/>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6"/>
      <c r="CJ63" s="456"/>
      <c r="CK63" s="456"/>
      <c r="CL63" s="456"/>
      <c r="CM63" s="456"/>
      <c r="CN63" s="456"/>
      <c r="CO63" s="456"/>
      <c r="CP63" s="456"/>
      <c r="CQ63" s="456"/>
      <c r="CR63" s="456"/>
      <c r="CS63" s="456"/>
      <c r="CT63" s="456"/>
      <c r="CU63" s="456"/>
      <c r="CV63" s="456"/>
      <c r="CW63" s="456"/>
      <c r="CX63" s="456"/>
      <c r="CY63" s="456"/>
      <c r="CZ63" s="456"/>
      <c r="DA63" s="456"/>
      <c r="DB63" s="456"/>
      <c r="DC63" s="456"/>
      <c r="DD63" s="456"/>
      <c r="DE63" s="456"/>
      <c r="DF63" s="456"/>
      <c r="DG63" s="456"/>
      <c r="DH63" s="456"/>
      <c r="DI63" s="456"/>
      <c r="DJ63" s="456"/>
      <c r="DK63" s="456"/>
      <c r="DL63" s="456"/>
      <c r="DM63" s="456"/>
      <c r="DN63" s="456"/>
      <c r="DO63" s="456"/>
      <c r="DP63" s="456"/>
      <c r="DQ63" s="456"/>
      <c r="DR63" s="456"/>
      <c r="DS63" s="456"/>
      <c r="DT63" s="456"/>
      <c r="DU63" s="456"/>
      <c r="DV63" s="456"/>
      <c r="DW63" s="456"/>
      <c r="DX63" s="456"/>
      <c r="DY63" s="456"/>
      <c r="DZ63" s="456"/>
      <c r="EA63" s="456"/>
      <c r="EB63" s="456"/>
      <c r="EC63" s="456"/>
      <c r="ED63" s="456"/>
      <c r="EE63" s="456"/>
      <c r="EF63" s="456"/>
      <c r="EG63" s="456"/>
      <c r="EH63" s="456"/>
      <c r="EI63" s="456"/>
      <c r="EJ63" s="456"/>
      <c r="EK63" s="456"/>
      <c r="EL63" s="456"/>
      <c r="EM63" s="456"/>
      <c r="EN63" s="456"/>
      <c r="EO63" s="456"/>
      <c r="EP63" s="456"/>
      <c r="EQ63" s="456"/>
      <c r="ER63" s="456"/>
      <c r="ES63" s="456"/>
      <c r="ET63" s="456"/>
      <c r="EU63" s="456"/>
      <c r="EV63" s="456"/>
      <c r="EW63" s="456"/>
      <c r="EX63" s="456"/>
      <c r="EY63" s="456"/>
      <c r="EZ63" s="456"/>
      <c r="FA63" s="456"/>
      <c r="FB63" s="456"/>
      <c r="FC63" s="456"/>
      <c r="FD63" s="456"/>
      <c r="FE63" s="456"/>
      <c r="FF63" s="456"/>
      <c r="FG63" s="456"/>
      <c r="FH63" s="456"/>
      <c r="FI63" s="456"/>
      <c r="FJ63" s="456"/>
      <c r="FK63" s="456"/>
      <c r="FL63" s="456"/>
      <c r="FM63" s="456"/>
      <c r="FN63" s="456"/>
      <c r="FO63" s="456"/>
      <c r="FP63" s="456"/>
      <c r="FQ63" s="456"/>
      <c r="FR63" s="456"/>
      <c r="FS63" s="456"/>
      <c r="FT63" s="456"/>
      <c r="FU63" s="456"/>
      <c r="FV63" s="456"/>
      <c r="FW63" s="456"/>
      <c r="FX63" s="456"/>
      <c r="FY63" s="456"/>
      <c r="FZ63" s="456"/>
      <c r="GA63" s="456"/>
      <c r="GB63" s="456"/>
      <c r="GC63" s="456"/>
      <c r="GD63" s="456"/>
      <c r="GE63" s="456"/>
      <c r="GF63" s="456"/>
      <c r="GG63" s="456"/>
      <c r="GH63" s="456"/>
      <c r="GI63" s="456"/>
      <c r="GJ63" s="456"/>
      <c r="GK63" s="456"/>
      <c r="GL63" s="456"/>
      <c r="GM63" s="456"/>
      <c r="GN63" s="456"/>
      <c r="GO63" s="456"/>
      <c r="GP63" s="456"/>
      <c r="GQ63" s="456"/>
      <c r="GR63" s="456"/>
      <c r="GS63" s="456"/>
      <c r="GT63" s="456"/>
      <c r="GU63" s="456"/>
      <c r="GV63" s="456"/>
      <c r="GW63" s="456"/>
      <c r="GX63" s="456"/>
      <c r="GY63" s="456"/>
      <c r="GZ63" s="456"/>
      <c r="HA63" s="456"/>
      <c r="HB63" s="456"/>
      <c r="HC63" s="456"/>
      <c r="HD63" s="456"/>
      <c r="HE63" s="456"/>
      <c r="HF63" s="456"/>
      <c r="HG63" s="456"/>
      <c r="HH63" s="456"/>
      <c r="HI63" s="456"/>
      <c r="HJ63" s="456"/>
      <c r="HK63" s="456"/>
      <c r="HL63" s="456"/>
      <c r="HM63" s="456"/>
      <c r="HN63" s="456"/>
      <c r="HO63" s="456"/>
      <c r="HP63" s="456"/>
      <c r="HQ63" s="456"/>
      <c r="HR63" s="456"/>
      <c r="HS63" s="456"/>
      <c r="HT63" s="456"/>
      <c r="HU63" s="456"/>
      <c r="HV63" s="456"/>
      <c r="HW63" s="456"/>
      <c r="HX63" s="456"/>
      <c r="HY63" s="456"/>
      <c r="HZ63" s="456"/>
      <c r="IA63" s="456"/>
      <c r="IB63" s="456"/>
      <c r="IC63" s="456"/>
      <c r="ID63" s="456"/>
      <c r="IE63" s="456"/>
      <c r="IF63" s="456"/>
    </row>
    <row r="64" spans="1:240" s="191" customFormat="1" ht="129" customHeight="1" x14ac:dyDescent="0.2">
      <c r="A64" s="21">
        <f t="shared" si="0"/>
        <v>58</v>
      </c>
      <c r="B64" s="167" t="s">
        <v>97</v>
      </c>
      <c r="C64" s="168">
        <v>33</v>
      </c>
      <c r="D64" s="173" t="s">
        <v>24</v>
      </c>
      <c r="E64" s="173" t="s">
        <v>98</v>
      </c>
      <c r="F64" s="173" t="s">
        <v>99</v>
      </c>
      <c r="G64" s="173" t="s">
        <v>27</v>
      </c>
      <c r="H64" s="168" t="s">
        <v>28</v>
      </c>
      <c r="I64" s="454">
        <v>315700000</v>
      </c>
      <c r="J64" s="288"/>
      <c r="K64" s="512">
        <v>42612</v>
      </c>
      <c r="L64" s="451">
        <f t="shared" si="3"/>
        <v>42672</v>
      </c>
      <c r="M64" s="451">
        <f t="shared" si="4"/>
        <v>42677</v>
      </c>
      <c r="N64" s="6">
        <v>150</v>
      </c>
      <c r="O64" s="451">
        <f t="shared" si="5"/>
        <v>42827</v>
      </c>
      <c r="P64" s="189">
        <v>81111811</v>
      </c>
      <c r="Q64" s="10" t="s">
        <v>803</v>
      </c>
      <c r="R64" s="514" t="s">
        <v>799</v>
      </c>
      <c r="S64" s="220"/>
      <c r="T64" s="464"/>
      <c r="U64" s="220"/>
      <c r="V64" s="455"/>
      <c r="W64" s="220"/>
      <c r="X64" s="455"/>
      <c r="Y64" s="456"/>
      <c r="Z64" s="456"/>
      <c r="AA64" s="513"/>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6"/>
      <c r="BI64" s="456"/>
      <c r="BJ64" s="456"/>
      <c r="BK64" s="456"/>
      <c r="BL64" s="456"/>
      <c r="BM64" s="456"/>
      <c r="BN64" s="456"/>
      <c r="BO64" s="456"/>
      <c r="BP64" s="456"/>
      <c r="BQ64" s="456"/>
      <c r="BR64" s="456"/>
      <c r="BS64" s="456"/>
      <c r="BT64" s="456"/>
      <c r="BU64" s="456"/>
      <c r="BV64" s="456"/>
      <c r="BW64" s="456"/>
      <c r="BX64" s="456"/>
      <c r="BY64" s="456"/>
      <c r="BZ64" s="456"/>
      <c r="CA64" s="456"/>
      <c r="CB64" s="456"/>
      <c r="CC64" s="456"/>
      <c r="CD64" s="456"/>
      <c r="CE64" s="456"/>
      <c r="CF64" s="456"/>
      <c r="CG64" s="456"/>
      <c r="CH64" s="456"/>
      <c r="CI64" s="456"/>
      <c r="CJ64" s="456"/>
      <c r="CK64" s="456"/>
      <c r="CL64" s="456"/>
      <c r="CM64" s="456"/>
      <c r="CN64" s="456"/>
      <c r="CO64" s="456"/>
      <c r="CP64" s="456"/>
      <c r="CQ64" s="456"/>
      <c r="CR64" s="456"/>
      <c r="CS64" s="456"/>
      <c r="CT64" s="456"/>
      <c r="CU64" s="456"/>
      <c r="CV64" s="456"/>
      <c r="CW64" s="456"/>
      <c r="CX64" s="456"/>
      <c r="CY64" s="456"/>
      <c r="CZ64" s="456"/>
      <c r="DA64" s="456"/>
      <c r="DB64" s="456"/>
      <c r="DC64" s="456"/>
      <c r="DD64" s="456"/>
      <c r="DE64" s="456"/>
      <c r="DF64" s="456"/>
      <c r="DG64" s="456"/>
      <c r="DH64" s="456"/>
      <c r="DI64" s="456"/>
      <c r="DJ64" s="456"/>
      <c r="DK64" s="456"/>
      <c r="DL64" s="456"/>
      <c r="DM64" s="456"/>
      <c r="DN64" s="456"/>
      <c r="DO64" s="456"/>
      <c r="DP64" s="456"/>
      <c r="DQ64" s="456"/>
      <c r="DR64" s="456"/>
      <c r="DS64" s="456"/>
      <c r="DT64" s="456"/>
      <c r="DU64" s="456"/>
      <c r="DV64" s="456"/>
      <c r="DW64" s="456"/>
      <c r="DX64" s="456"/>
      <c r="DY64" s="456"/>
      <c r="DZ64" s="456"/>
      <c r="EA64" s="456"/>
      <c r="EB64" s="456"/>
      <c r="EC64" s="456"/>
      <c r="ED64" s="456"/>
      <c r="EE64" s="456"/>
      <c r="EF64" s="456"/>
      <c r="EG64" s="456"/>
      <c r="EH64" s="456"/>
      <c r="EI64" s="456"/>
      <c r="EJ64" s="456"/>
      <c r="EK64" s="456"/>
      <c r="EL64" s="456"/>
      <c r="EM64" s="456"/>
      <c r="EN64" s="456"/>
      <c r="EO64" s="456"/>
      <c r="EP64" s="456"/>
      <c r="EQ64" s="456"/>
      <c r="ER64" s="456"/>
      <c r="ES64" s="456"/>
      <c r="ET64" s="456"/>
      <c r="EU64" s="456"/>
      <c r="EV64" s="456"/>
      <c r="EW64" s="456"/>
      <c r="EX64" s="456"/>
      <c r="EY64" s="456"/>
      <c r="EZ64" s="456"/>
      <c r="FA64" s="456"/>
      <c r="FB64" s="456"/>
      <c r="FC64" s="456"/>
      <c r="FD64" s="456"/>
      <c r="FE64" s="456"/>
      <c r="FF64" s="456"/>
      <c r="FG64" s="456"/>
      <c r="FH64" s="456"/>
      <c r="FI64" s="456"/>
      <c r="FJ64" s="456"/>
      <c r="FK64" s="456"/>
      <c r="FL64" s="456"/>
      <c r="FM64" s="456"/>
      <c r="FN64" s="456"/>
      <c r="FO64" s="456"/>
      <c r="FP64" s="456"/>
      <c r="FQ64" s="456"/>
      <c r="FR64" s="456"/>
      <c r="FS64" s="456"/>
      <c r="FT64" s="456"/>
      <c r="FU64" s="456"/>
      <c r="FV64" s="456"/>
      <c r="FW64" s="456"/>
      <c r="FX64" s="456"/>
      <c r="FY64" s="456"/>
      <c r="FZ64" s="456"/>
      <c r="GA64" s="456"/>
      <c r="GB64" s="456"/>
      <c r="GC64" s="456"/>
      <c r="GD64" s="456"/>
      <c r="GE64" s="456"/>
      <c r="GF64" s="456"/>
      <c r="GG64" s="456"/>
      <c r="GH64" s="456"/>
      <c r="GI64" s="456"/>
      <c r="GJ64" s="456"/>
      <c r="GK64" s="456"/>
      <c r="GL64" s="456"/>
      <c r="GM64" s="456"/>
      <c r="GN64" s="456"/>
      <c r="GO64" s="456"/>
      <c r="GP64" s="456"/>
      <c r="GQ64" s="456"/>
      <c r="GR64" s="456"/>
      <c r="GS64" s="456"/>
      <c r="GT64" s="456"/>
      <c r="GU64" s="456"/>
      <c r="GV64" s="456"/>
      <c r="GW64" s="456"/>
      <c r="GX64" s="456"/>
      <c r="GY64" s="456"/>
      <c r="GZ64" s="456"/>
      <c r="HA64" s="456"/>
      <c r="HB64" s="456"/>
      <c r="HC64" s="456"/>
      <c r="HD64" s="456"/>
      <c r="HE64" s="456"/>
      <c r="HF64" s="456"/>
      <c r="HG64" s="456"/>
      <c r="HH64" s="456"/>
      <c r="HI64" s="456"/>
      <c r="HJ64" s="456"/>
      <c r="HK64" s="456"/>
      <c r="HL64" s="456"/>
      <c r="HM64" s="456"/>
      <c r="HN64" s="456"/>
      <c r="HO64" s="456"/>
      <c r="HP64" s="456"/>
      <c r="HQ64" s="456"/>
      <c r="HR64" s="456"/>
      <c r="HS64" s="456"/>
      <c r="HT64" s="456"/>
      <c r="HU64" s="456"/>
      <c r="HV64" s="456"/>
      <c r="HW64" s="456"/>
      <c r="HX64" s="456"/>
      <c r="HY64" s="456"/>
      <c r="HZ64" s="456"/>
      <c r="IA64" s="456"/>
      <c r="IB64" s="456"/>
      <c r="IC64" s="456"/>
      <c r="ID64" s="456"/>
      <c r="IE64" s="456"/>
      <c r="IF64" s="456"/>
    </row>
    <row r="65" spans="1:240" s="4" customFormat="1" ht="156" customHeight="1" x14ac:dyDescent="0.2">
      <c r="A65" s="21">
        <f t="shared" si="0"/>
        <v>59</v>
      </c>
      <c r="B65" s="167" t="s">
        <v>104</v>
      </c>
      <c r="C65" s="168">
        <v>31102</v>
      </c>
      <c r="D65" s="23" t="s">
        <v>105</v>
      </c>
      <c r="E65" s="163">
        <v>311020301</v>
      </c>
      <c r="F65" s="24" t="s">
        <v>80</v>
      </c>
      <c r="G65" s="160" t="s">
        <v>32</v>
      </c>
      <c r="H65" s="10" t="s">
        <v>218</v>
      </c>
      <c r="I65" s="288">
        <v>10312330</v>
      </c>
      <c r="J65" s="288">
        <v>10312330</v>
      </c>
      <c r="K65" s="419">
        <v>42390</v>
      </c>
      <c r="L65" s="425">
        <v>42422</v>
      </c>
      <c r="M65" s="425">
        <v>42425</v>
      </c>
      <c r="N65" s="21">
        <v>300</v>
      </c>
      <c r="O65" s="425">
        <v>42728</v>
      </c>
      <c r="P65" s="511" t="s">
        <v>519</v>
      </c>
      <c r="Q65" s="343" t="s">
        <v>518</v>
      </c>
      <c r="R65" s="165" t="s">
        <v>106</v>
      </c>
      <c r="S65" s="170" t="s">
        <v>331</v>
      </c>
      <c r="T65" s="9" t="s">
        <v>520</v>
      </c>
      <c r="U65" s="166" t="s">
        <v>310</v>
      </c>
      <c r="V65" s="179" t="s">
        <v>309</v>
      </c>
      <c r="W65" s="127"/>
      <c r="X65" s="127"/>
      <c r="Y65" s="3"/>
      <c r="Z65" s="3"/>
      <c r="AA65" s="468"/>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row>
    <row r="66" spans="1:240" s="4" customFormat="1" ht="156" customHeight="1" x14ac:dyDescent="0.2">
      <c r="A66" s="21">
        <f t="shared" si="0"/>
        <v>60</v>
      </c>
      <c r="B66" s="167" t="s">
        <v>104</v>
      </c>
      <c r="C66" s="168">
        <v>31102</v>
      </c>
      <c r="D66" s="23" t="s">
        <v>105</v>
      </c>
      <c r="E66" s="163">
        <v>311020301</v>
      </c>
      <c r="F66" s="24" t="s">
        <v>80</v>
      </c>
      <c r="G66" s="160" t="s">
        <v>32</v>
      </c>
      <c r="H66" s="10" t="s">
        <v>218</v>
      </c>
      <c r="I66" s="288">
        <f>30160000-I65</f>
        <v>19847670</v>
      </c>
      <c r="J66" s="288"/>
      <c r="K66" s="419">
        <v>42354</v>
      </c>
      <c r="L66" s="425" t="s">
        <v>790</v>
      </c>
      <c r="M66" s="425">
        <v>42427</v>
      </c>
      <c r="N66" s="21">
        <v>305</v>
      </c>
      <c r="O66" s="425">
        <f>+M66+N66</f>
        <v>42732</v>
      </c>
      <c r="P66" s="511" t="s">
        <v>519</v>
      </c>
      <c r="Q66" s="343" t="s">
        <v>518</v>
      </c>
      <c r="R66" s="165" t="s">
        <v>106</v>
      </c>
      <c r="S66" s="170"/>
      <c r="T66" s="9"/>
      <c r="U66" s="166"/>
      <c r="V66" s="179"/>
      <c r="W66" s="127"/>
      <c r="X66" s="127"/>
      <c r="Y66" s="3"/>
      <c r="Z66" s="3"/>
      <c r="AA66" s="468"/>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row>
    <row r="67" spans="1:240" s="4" customFormat="1" ht="83.25" customHeight="1" x14ac:dyDescent="0.2">
      <c r="A67" s="21">
        <f t="shared" si="0"/>
        <v>61</v>
      </c>
      <c r="B67" s="167" t="s">
        <v>104</v>
      </c>
      <c r="C67" s="168">
        <v>31202</v>
      </c>
      <c r="D67" s="23" t="s">
        <v>211</v>
      </c>
      <c r="E67" s="29">
        <v>3120204</v>
      </c>
      <c r="F67" s="211" t="s">
        <v>230</v>
      </c>
      <c r="G67" s="160" t="s">
        <v>32</v>
      </c>
      <c r="H67" s="167" t="s">
        <v>28</v>
      </c>
      <c r="I67" s="169">
        <v>26000000</v>
      </c>
      <c r="J67" s="169"/>
      <c r="K67" s="424">
        <v>42592</v>
      </c>
      <c r="L67" s="424">
        <f>K67+45</f>
        <v>42637</v>
      </c>
      <c r="M67" s="424">
        <f>L67+5</f>
        <v>42642</v>
      </c>
      <c r="N67" s="409">
        <v>90</v>
      </c>
      <c r="O67" s="424">
        <f>M67+N67</f>
        <v>42732</v>
      </c>
      <c r="P67" s="206" t="s">
        <v>108</v>
      </c>
      <c r="Q67" s="167" t="s">
        <v>570</v>
      </c>
      <c r="R67" s="165" t="s">
        <v>109</v>
      </c>
      <c r="S67" s="170" t="s">
        <v>331</v>
      </c>
      <c r="T67" s="127"/>
      <c r="U67" s="386"/>
      <c r="V67" s="127"/>
      <c r="W67" s="127"/>
      <c r="X67" s="127"/>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row>
    <row r="68" spans="1:240" s="4" customFormat="1" ht="72.75" customHeight="1" x14ac:dyDescent="0.2">
      <c r="A68" s="21">
        <f t="shared" si="0"/>
        <v>62</v>
      </c>
      <c r="B68" s="167" t="s">
        <v>104</v>
      </c>
      <c r="C68" s="168">
        <v>31202</v>
      </c>
      <c r="D68" s="23" t="s">
        <v>211</v>
      </c>
      <c r="E68" s="29">
        <v>3120217</v>
      </c>
      <c r="F68" s="211" t="s">
        <v>110</v>
      </c>
      <c r="G68" s="14" t="s">
        <v>217</v>
      </c>
      <c r="H68" s="167" t="s">
        <v>63</v>
      </c>
      <c r="I68" s="169">
        <v>100000000</v>
      </c>
      <c r="J68" s="169"/>
      <c r="K68" s="419">
        <v>42481</v>
      </c>
      <c r="L68" s="419">
        <f>K68+45</f>
        <v>42526</v>
      </c>
      <c r="M68" s="419">
        <f>L68+5</f>
        <v>42531</v>
      </c>
      <c r="N68" s="183">
        <v>90</v>
      </c>
      <c r="O68" s="419">
        <f>M68+N68</f>
        <v>42621</v>
      </c>
      <c r="P68" s="160" t="s">
        <v>641</v>
      </c>
      <c r="Q68" s="10" t="s">
        <v>708</v>
      </c>
      <c r="R68" s="165" t="s">
        <v>111</v>
      </c>
      <c r="S68" s="170" t="s">
        <v>331</v>
      </c>
      <c r="T68" s="220" t="s">
        <v>707</v>
      </c>
      <c r="U68" s="166" t="s">
        <v>302</v>
      </c>
      <c r="V68" s="127"/>
      <c r="W68" s="127"/>
      <c r="X68" s="127"/>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row>
    <row r="69" spans="1:240" s="4" customFormat="1" ht="81.75" customHeight="1" x14ac:dyDescent="0.2">
      <c r="A69" s="21">
        <f t="shared" si="0"/>
        <v>63</v>
      </c>
      <c r="B69" s="167" t="s">
        <v>104</v>
      </c>
      <c r="C69" s="168">
        <v>31202</v>
      </c>
      <c r="D69" s="23" t="s">
        <v>211</v>
      </c>
      <c r="E69" s="29">
        <v>3120204</v>
      </c>
      <c r="F69" s="211" t="s">
        <v>230</v>
      </c>
      <c r="G69" s="160" t="s">
        <v>112</v>
      </c>
      <c r="H69" s="167" t="s">
        <v>63</v>
      </c>
      <c r="I69" s="169">
        <v>20800000</v>
      </c>
      <c r="J69" s="169"/>
      <c r="K69" s="424">
        <v>42592</v>
      </c>
      <c r="L69" s="424">
        <f>K69+45</f>
        <v>42637</v>
      </c>
      <c r="M69" s="424">
        <f>L69+5</f>
        <v>42642</v>
      </c>
      <c r="N69" s="409">
        <v>90</v>
      </c>
      <c r="O69" s="424">
        <f>M69+N69</f>
        <v>42732</v>
      </c>
      <c r="P69" s="7" t="s">
        <v>113</v>
      </c>
      <c r="Q69" s="167" t="s">
        <v>571</v>
      </c>
      <c r="R69" s="186" t="s">
        <v>114</v>
      </c>
      <c r="S69" s="170" t="s">
        <v>331</v>
      </c>
      <c r="T69" s="127"/>
      <c r="U69" s="386"/>
      <c r="V69" s="127"/>
      <c r="W69" s="127"/>
      <c r="X69" s="127"/>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row>
    <row r="70" spans="1:240" s="4" customFormat="1" ht="129.75" customHeight="1" x14ac:dyDescent="0.2">
      <c r="A70" s="21">
        <f t="shared" si="0"/>
        <v>64</v>
      </c>
      <c r="B70" s="167" t="s">
        <v>104</v>
      </c>
      <c r="C70" s="168">
        <v>31202</v>
      </c>
      <c r="D70" s="23" t="s">
        <v>211</v>
      </c>
      <c r="E70" s="212">
        <v>3120204</v>
      </c>
      <c r="F70" s="211" t="s">
        <v>230</v>
      </c>
      <c r="G70" s="160" t="s">
        <v>112</v>
      </c>
      <c r="H70" s="167" t="s">
        <v>63</v>
      </c>
      <c r="I70" s="26">
        <v>8608151</v>
      </c>
      <c r="J70" s="26">
        <v>8608151</v>
      </c>
      <c r="K70" s="419">
        <v>42367</v>
      </c>
      <c r="L70" s="426">
        <v>42416</v>
      </c>
      <c r="M70" s="425">
        <v>42431</v>
      </c>
      <c r="N70" s="21" t="s">
        <v>494</v>
      </c>
      <c r="O70" s="425">
        <v>42461</v>
      </c>
      <c r="P70" s="9" t="s">
        <v>495</v>
      </c>
      <c r="Q70" s="25" t="s">
        <v>493</v>
      </c>
      <c r="R70" s="165" t="s">
        <v>111</v>
      </c>
      <c r="S70" s="170" t="s">
        <v>331</v>
      </c>
      <c r="T70" s="9" t="s">
        <v>496</v>
      </c>
      <c r="U70" s="166" t="s">
        <v>310</v>
      </c>
      <c r="V70" s="127"/>
      <c r="W70" s="179" t="s">
        <v>497</v>
      </c>
      <c r="X70" s="127"/>
      <c r="Y70" s="213"/>
      <c r="Z70" s="3"/>
      <c r="AA70" s="468"/>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row>
    <row r="71" spans="1:240" s="4" customFormat="1" ht="127.5" customHeight="1" x14ac:dyDescent="0.2">
      <c r="A71" s="21">
        <f t="shared" si="0"/>
        <v>65</v>
      </c>
      <c r="B71" s="167" t="s">
        <v>104</v>
      </c>
      <c r="C71" s="168">
        <v>31202</v>
      </c>
      <c r="D71" s="23" t="s">
        <v>211</v>
      </c>
      <c r="E71" s="29">
        <v>3120204</v>
      </c>
      <c r="F71" s="211" t="s">
        <v>230</v>
      </c>
      <c r="G71" s="160" t="s">
        <v>112</v>
      </c>
      <c r="H71" s="167" t="s">
        <v>63</v>
      </c>
      <c r="I71" s="169">
        <f>15600000-I70</f>
        <v>6991849</v>
      </c>
      <c r="J71" s="169"/>
      <c r="K71" s="419">
        <v>42367</v>
      </c>
      <c r="L71" s="419">
        <v>42429</v>
      </c>
      <c r="M71" s="419">
        <v>42420</v>
      </c>
      <c r="N71" s="183">
        <v>300</v>
      </c>
      <c r="O71" s="419">
        <v>42716</v>
      </c>
      <c r="P71" s="8" t="s">
        <v>115</v>
      </c>
      <c r="Q71" s="167" t="s">
        <v>854</v>
      </c>
      <c r="R71" s="165" t="s">
        <v>111</v>
      </c>
      <c r="S71" s="170" t="s">
        <v>331</v>
      </c>
      <c r="T71" s="179" t="s">
        <v>269</v>
      </c>
      <c r="U71" s="179" t="s">
        <v>302</v>
      </c>
      <c r="V71" s="166" t="s">
        <v>344</v>
      </c>
      <c r="W71" s="127"/>
      <c r="X71" s="127"/>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row>
    <row r="72" spans="1:240" s="4" customFormat="1" ht="127.5" customHeight="1" x14ac:dyDescent="0.2">
      <c r="A72" s="21">
        <f t="shared" si="0"/>
        <v>66</v>
      </c>
      <c r="B72" s="167" t="s">
        <v>104</v>
      </c>
      <c r="C72" s="168">
        <v>31202</v>
      </c>
      <c r="D72" s="23" t="s">
        <v>211</v>
      </c>
      <c r="E72" s="29">
        <v>3120204</v>
      </c>
      <c r="F72" s="211" t="s">
        <v>230</v>
      </c>
      <c r="G72" s="160" t="s">
        <v>112</v>
      </c>
      <c r="H72" s="167" t="s">
        <v>63</v>
      </c>
      <c r="I72" s="169">
        <v>8320000</v>
      </c>
      <c r="J72" s="169"/>
      <c r="K72" s="419">
        <v>42367</v>
      </c>
      <c r="L72" s="419">
        <v>42429</v>
      </c>
      <c r="M72" s="419">
        <v>42420</v>
      </c>
      <c r="N72" s="183">
        <v>300</v>
      </c>
      <c r="O72" s="419">
        <v>42716</v>
      </c>
      <c r="P72" s="8" t="s">
        <v>115</v>
      </c>
      <c r="Q72" s="167" t="s">
        <v>855</v>
      </c>
      <c r="R72" s="186" t="s">
        <v>116</v>
      </c>
      <c r="S72" s="170" t="s">
        <v>331</v>
      </c>
      <c r="T72" s="179" t="s">
        <v>269</v>
      </c>
      <c r="U72" s="179" t="s">
        <v>302</v>
      </c>
      <c r="V72" s="127"/>
      <c r="W72" s="127"/>
      <c r="X72" s="127"/>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row>
    <row r="73" spans="1:240" s="4" customFormat="1" ht="127.5" customHeight="1" x14ac:dyDescent="0.2">
      <c r="A73" s="21">
        <f t="shared" ref="A73:A136" si="6">+A72+1</f>
        <v>67</v>
      </c>
      <c r="B73" s="167" t="s">
        <v>104</v>
      </c>
      <c r="C73" s="168">
        <v>31202</v>
      </c>
      <c r="D73" s="23" t="s">
        <v>211</v>
      </c>
      <c r="E73" s="29">
        <v>3120204</v>
      </c>
      <c r="F73" s="211" t="s">
        <v>230</v>
      </c>
      <c r="G73" s="160" t="s">
        <v>112</v>
      </c>
      <c r="H73" s="167" t="s">
        <v>63</v>
      </c>
      <c r="I73" s="288">
        <v>1010000</v>
      </c>
      <c r="J73" s="288">
        <v>1010000</v>
      </c>
      <c r="K73" s="419">
        <v>42367</v>
      </c>
      <c r="L73" s="425">
        <v>42422</v>
      </c>
      <c r="M73" s="425">
        <v>42425</v>
      </c>
      <c r="N73" s="21">
        <v>365</v>
      </c>
      <c r="O73" s="425">
        <v>42790</v>
      </c>
      <c r="P73" s="180" t="s">
        <v>516</v>
      </c>
      <c r="Q73" s="343" t="s">
        <v>515</v>
      </c>
      <c r="R73" s="186" t="s">
        <v>116</v>
      </c>
      <c r="S73" s="170" t="s">
        <v>331</v>
      </c>
      <c r="T73" s="9" t="s">
        <v>517</v>
      </c>
      <c r="U73" s="166" t="s">
        <v>310</v>
      </c>
      <c r="V73" s="127"/>
      <c r="W73" s="179" t="s">
        <v>309</v>
      </c>
      <c r="X73" s="127"/>
      <c r="Y73" s="3"/>
      <c r="Z73" s="3"/>
      <c r="AA73" s="468"/>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row>
    <row r="74" spans="1:240" s="4" customFormat="1" ht="152.25" customHeight="1" x14ac:dyDescent="0.2">
      <c r="A74" s="21">
        <f t="shared" si="6"/>
        <v>68</v>
      </c>
      <c r="B74" s="167" t="s">
        <v>104</v>
      </c>
      <c r="C74" s="173">
        <v>33</v>
      </c>
      <c r="D74" s="11" t="s">
        <v>24</v>
      </c>
      <c r="E74" s="198" t="s">
        <v>25</v>
      </c>
      <c r="F74" s="214" t="s">
        <v>26</v>
      </c>
      <c r="G74" s="160" t="s">
        <v>27</v>
      </c>
      <c r="H74" s="167" t="s">
        <v>28</v>
      </c>
      <c r="I74" s="169">
        <v>150000000</v>
      </c>
      <c r="J74" s="169"/>
      <c r="K74" s="419">
        <v>42418</v>
      </c>
      <c r="L74" s="419">
        <v>42505</v>
      </c>
      <c r="M74" s="419">
        <v>42519</v>
      </c>
      <c r="N74" s="173">
        <v>365</v>
      </c>
      <c r="O74" s="419">
        <v>42883</v>
      </c>
      <c r="P74" s="7" t="s">
        <v>117</v>
      </c>
      <c r="Q74" s="9" t="s">
        <v>734</v>
      </c>
      <c r="R74" s="186" t="s">
        <v>118</v>
      </c>
      <c r="S74" s="170" t="s">
        <v>789</v>
      </c>
      <c r="T74" s="9" t="s">
        <v>642</v>
      </c>
      <c r="U74" s="179" t="s">
        <v>601</v>
      </c>
      <c r="V74" s="127"/>
      <c r="W74" s="127"/>
      <c r="X74" s="127"/>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row>
    <row r="75" spans="1:240" s="4" customFormat="1" ht="152.25" customHeight="1" x14ac:dyDescent="0.2">
      <c r="A75" s="21">
        <f t="shared" si="6"/>
        <v>69</v>
      </c>
      <c r="B75" s="167" t="s">
        <v>104</v>
      </c>
      <c r="C75" s="173">
        <v>33</v>
      </c>
      <c r="D75" s="11" t="s">
        <v>24</v>
      </c>
      <c r="E75" s="198" t="s">
        <v>25</v>
      </c>
      <c r="F75" s="214" t="s">
        <v>26</v>
      </c>
      <c r="G75" s="160" t="s">
        <v>27</v>
      </c>
      <c r="H75" s="167" t="s">
        <v>28</v>
      </c>
      <c r="I75" s="169">
        <v>100000000</v>
      </c>
      <c r="J75" s="169"/>
      <c r="K75" s="419">
        <v>42566</v>
      </c>
      <c r="L75" s="419">
        <f>K75+90</f>
        <v>42656</v>
      </c>
      <c r="M75" s="419">
        <f>L75+5</f>
        <v>42661</v>
      </c>
      <c r="N75" s="173">
        <v>365</v>
      </c>
      <c r="O75" s="419">
        <f>+M75+N75</f>
        <v>43026</v>
      </c>
      <c r="P75" s="7" t="s">
        <v>814</v>
      </c>
      <c r="Q75" s="9" t="s">
        <v>735</v>
      </c>
      <c r="R75" s="186" t="s">
        <v>118</v>
      </c>
      <c r="S75" s="170" t="s">
        <v>789</v>
      </c>
      <c r="T75" s="9" t="s">
        <v>815</v>
      </c>
      <c r="U75" s="179" t="s">
        <v>816</v>
      </c>
      <c r="V75" s="127"/>
      <c r="W75" s="127"/>
      <c r="X75" s="127"/>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row>
    <row r="76" spans="1:240" s="4" customFormat="1" ht="114.75" customHeight="1" x14ac:dyDescent="0.2">
      <c r="A76" s="21">
        <f t="shared" si="6"/>
        <v>70</v>
      </c>
      <c r="B76" s="16" t="s">
        <v>137</v>
      </c>
      <c r="C76" s="22" t="s">
        <v>119</v>
      </c>
      <c r="D76" s="114" t="s">
        <v>120</v>
      </c>
      <c r="E76" s="116">
        <v>3120102</v>
      </c>
      <c r="F76" s="115" t="s">
        <v>121</v>
      </c>
      <c r="G76" s="14" t="s">
        <v>27</v>
      </c>
      <c r="H76" s="10" t="s">
        <v>19</v>
      </c>
      <c r="I76" s="26">
        <f>190000000-100000000</f>
        <v>90000000</v>
      </c>
      <c r="J76" s="26"/>
      <c r="K76" s="419">
        <v>42506</v>
      </c>
      <c r="L76" s="420">
        <v>42523</v>
      </c>
      <c r="M76" s="420">
        <v>42536</v>
      </c>
      <c r="N76" s="6">
        <v>150</v>
      </c>
      <c r="O76" s="420">
        <v>42686</v>
      </c>
      <c r="P76" s="7" t="s">
        <v>246</v>
      </c>
      <c r="Q76" s="25" t="s">
        <v>122</v>
      </c>
      <c r="R76" s="11" t="s">
        <v>123</v>
      </c>
      <c r="S76" s="166" t="s">
        <v>323</v>
      </c>
      <c r="T76" s="386"/>
      <c r="U76" s="386"/>
      <c r="V76" s="127"/>
      <c r="W76" s="127"/>
      <c r="X76" s="127"/>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row>
    <row r="77" spans="1:240" s="4" customFormat="1" ht="86.25" customHeight="1" x14ac:dyDescent="0.2">
      <c r="A77" s="21">
        <f t="shared" si="6"/>
        <v>71</v>
      </c>
      <c r="B77" s="16" t="s">
        <v>137</v>
      </c>
      <c r="C77" s="22" t="s">
        <v>119</v>
      </c>
      <c r="D77" s="114" t="s">
        <v>120</v>
      </c>
      <c r="E77" s="29">
        <v>3120104</v>
      </c>
      <c r="F77" s="115" t="s">
        <v>124</v>
      </c>
      <c r="G77" s="14" t="s">
        <v>27</v>
      </c>
      <c r="H77" s="10" t="s">
        <v>19</v>
      </c>
      <c r="I77" s="26">
        <v>230000000</v>
      </c>
      <c r="J77" s="26"/>
      <c r="K77" s="419">
        <v>42517</v>
      </c>
      <c r="L77" s="420">
        <f>K77+90</f>
        <v>42607</v>
      </c>
      <c r="M77" s="420">
        <f>L77+5</f>
        <v>42612</v>
      </c>
      <c r="N77" s="6">
        <v>180</v>
      </c>
      <c r="O77" s="420">
        <f>M77+N77</f>
        <v>42792</v>
      </c>
      <c r="P77" s="15" t="s">
        <v>247</v>
      </c>
      <c r="Q77" s="25" t="s">
        <v>125</v>
      </c>
      <c r="R77" s="11" t="s">
        <v>126</v>
      </c>
      <c r="S77" s="166" t="s">
        <v>323</v>
      </c>
      <c r="T77" s="386"/>
      <c r="U77" s="386"/>
      <c r="V77" s="127"/>
      <c r="W77" s="127"/>
      <c r="X77" s="127"/>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row>
    <row r="78" spans="1:240" s="4" customFormat="1" ht="78" customHeight="1" x14ac:dyDescent="0.2">
      <c r="A78" s="21">
        <f t="shared" si="6"/>
        <v>72</v>
      </c>
      <c r="B78" s="16" t="s">
        <v>137</v>
      </c>
      <c r="C78" s="22" t="s">
        <v>119</v>
      </c>
      <c r="D78" s="23" t="s">
        <v>211</v>
      </c>
      <c r="E78" s="22">
        <v>312020501</v>
      </c>
      <c r="F78" s="24" t="s">
        <v>84</v>
      </c>
      <c r="G78" s="14" t="s">
        <v>27</v>
      </c>
      <c r="H78" s="10" t="s">
        <v>28</v>
      </c>
      <c r="I78" s="26">
        <v>50000000</v>
      </c>
      <c r="J78" s="26"/>
      <c r="K78" s="419">
        <v>42531</v>
      </c>
      <c r="L78" s="420">
        <f>K78+60</f>
        <v>42591</v>
      </c>
      <c r="M78" s="420">
        <f>L78+5</f>
        <v>42596</v>
      </c>
      <c r="N78" s="6">
        <v>120</v>
      </c>
      <c r="O78" s="420">
        <f>M78+N78</f>
        <v>42716</v>
      </c>
      <c r="P78" s="117" t="s">
        <v>248</v>
      </c>
      <c r="Q78" s="25" t="s">
        <v>127</v>
      </c>
      <c r="R78" s="11" t="s">
        <v>128</v>
      </c>
      <c r="S78" s="166" t="s">
        <v>323</v>
      </c>
      <c r="T78" s="127"/>
      <c r="U78" s="386"/>
      <c r="V78" s="127"/>
      <c r="W78" s="127"/>
      <c r="X78" s="127"/>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row>
    <row r="79" spans="1:240" s="209" customFormat="1" ht="132.75" customHeight="1" x14ac:dyDescent="0.2">
      <c r="A79" s="21">
        <f t="shared" si="6"/>
        <v>73</v>
      </c>
      <c r="B79" s="10" t="s">
        <v>97</v>
      </c>
      <c r="C79" s="22" t="s">
        <v>119</v>
      </c>
      <c r="D79" s="114" t="s">
        <v>120</v>
      </c>
      <c r="E79" s="116">
        <v>3120102</v>
      </c>
      <c r="F79" s="115" t="s">
        <v>121</v>
      </c>
      <c r="G79" s="173" t="s">
        <v>27</v>
      </c>
      <c r="H79" s="184" t="s">
        <v>63</v>
      </c>
      <c r="I79" s="26">
        <v>71380600</v>
      </c>
      <c r="J79" s="26"/>
      <c r="K79" s="419">
        <v>42415</v>
      </c>
      <c r="L79" s="420">
        <v>42431</v>
      </c>
      <c r="M79" s="420">
        <v>42415</v>
      </c>
      <c r="N79" s="6">
        <v>365</v>
      </c>
      <c r="O79" s="420">
        <v>42775</v>
      </c>
      <c r="P79" s="160" t="s">
        <v>249</v>
      </c>
      <c r="Q79" s="25" t="s">
        <v>573</v>
      </c>
      <c r="R79" s="11" t="s">
        <v>129</v>
      </c>
      <c r="S79" s="220" t="s">
        <v>340</v>
      </c>
      <c r="T79" s="11" t="s">
        <v>574</v>
      </c>
      <c r="U79" s="179" t="s">
        <v>302</v>
      </c>
      <c r="V79" s="455"/>
      <c r="W79" s="190"/>
      <c r="X79" s="455"/>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c r="CE79" s="208"/>
      <c r="CF79" s="208"/>
      <c r="CG79" s="208"/>
      <c r="CH79" s="208"/>
      <c r="CI79" s="208"/>
      <c r="CJ79" s="208"/>
      <c r="CK79" s="208"/>
      <c r="CL79" s="208"/>
      <c r="CM79" s="208"/>
      <c r="CN79" s="208"/>
      <c r="CO79" s="208"/>
      <c r="CP79" s="208"/>
      <c r="CQ79" s="208"/>
      <c r="CR79" s="208"/>
      <c r="CS79" s="208"/>
      <c r="CT79" s="208"/>
      <c r="CU79" s="20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208"/>
      <c r="DS79" s="208"/>
      <c r="DT79" s="208"/>
      <c r="DU79" s="208"/>
      <c r="DV79" s="208"/>
      <c r="DW79" s="208"/>
      <c r="DX79" s="208"/>
      <c r="DY79" s="208"/>
      <c r="DZ79" s="208"/>
      <c r="EA79" s="208"/>
      <c r="EB79" s="208"/>
      <c r="EC79" s="208"/>
      <c r="ED79" s="208"/>
      <c r="EE79" s="208"/>
      <c r="EF79" s="208"/>
      <c r="EG79" s="208"/>
      <c r="EH79" s="208"/>
      <c r="EI79" s="208"/>
      <c r="EJ79" s="208"/>
      <c r="EK79" s="208"/>
      <c r="EL79" s="208"/>
      <c r="EM79" s="208"/>
      <c r="EN79" s="208"/>
      <c r="EO79" s="208"/>
      <c r="EP79" s="208"/>
      <c r="EQ79" s="208"/>
      <c r="ER79" s="208"/>
      <c r="ES79" s="208"/>
      <c r="ET79" s="208"/>
      <c r="EU79" s="208"/>
      <c r="EV79" s="208"/>
      <c r="EW79" s="208"/>
      <c r="EX79" s="208"/>
      <c r="EY79" s="208"/>
      <c r="EZ79" s="208"/>
      <c r="FA79" s="208"/>
      <c r="FB79" s="208"/>
      <c r="FC79" s="208"/>
      <c r="FD79" s="208"/>
      <c r="FE79" s="208"/>
      <c r="FF79" s="208"/>
      <c r="FG79" s="208"/>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c r="GF79" s="208"/>
      <c r="GG79" s="208"/>
      <c r="GH79" s="208"/>
      <c r="GI79" s="208"/>
      <c r="GJ79" s="208"/>
      <c r="GK79" s="208"/>
      <c r="GL79" s="208"/>
      <c r="GM79" s="208"/>
      <c r="GN79" s="208"/>
      <c r="GO79" s="208"/>
      <c r="GP79" s="208"/>
      <c r="GQ79" s="208"/>
      <c r="GR79" s="208"/>
      <c r="GS79" s="208"/>
      <c r="GT79" s="208"/>
      <c r="GU79" s="208"/>
      <c r="GV79" s="208"/>
      <c r="GW79" s="208"/>
      <c r="GX79" s="208"/>
      <c r="GY79" s="208"/>
      <c r="GZ79" s="208"/>
      <c r="HA79" s="208"/>
      <c r="HB79" s="208"/>
      <c r="HC79" s="208"/>
      <c r="HD79" s="208"/>
      <c r="HE79" s="208"/>
      <c r="HF79" s="208"/>
      <c r="HG79" s="208"/>
      <c r="HH79" s="208"/>
      <c r="HI79" s="208"/>
      <c r="HJ79" s="208"/>
      <c r="HK79" s="208"/>
      <c r="HL79" s="208"/>
      <c r="HM79" s="208"/>
      <c r="HN79" s="208"/>
      <c r="HO79" s="208"/>
      <c r="HP79" s="208"/>
      <c r="HQ79" s="208"/>
      <c r="HR79" s="208"/>
      <c r="HS79" s="208"/>
      <c r="HT79" s="208"/>
      <c r="HU79" s="208"/>
      <c r="HV79" s="208"/>
      <c r="HW79" s="208"/>
      <c r="HX79" s="208"/>
      <c r="HY79" s="208"/>
      <c r="HZ79" s="208"/>
      <c r="IA79" s="208"/>
      <c r="IB79" s="208"/>
      <c r="IC79" s="208"/>
      <c r="ID79" s="208"/>
      <c r="IE79" s="208"/>
      <c r="IF79" s="208"/>
    </row>
    <row r="80" spans="1:240" s="4" customFormat="1" ht="140.25" customHeight="1" x14ac:dyDescent="0.2">
      <c r="A80" s="21">
        <f t="shared" si="6"/>
        <v>74</v>
      </c>
      <c r="B80" s="16" t="s">
        <v>137</v>
      </c>
      <c r="C80" s="22" t="s">
        <v>16</v>
      </c>
      <c r="D80" s="23" t="s">
        <v>211</v>
      </c>
      <c r="E80" s="116">
        <v>3120105</v>
      </c>
      <c r="F80" s="115" t="s">
        <v>131</v>
      </c>
      <c r="G80" s="14" t="s">
        <v>217</v>
      </c>
      <c r="H80" s="10" t="s">
        <v>132</v>
      </c>
      <c r="I80" s="26">
        <v>400000000</v>
      </c>
      <c r="J80" s="26"/>
      <c r="K80" s="419">
        <f>L80-84</f>
        <v>42530</v>
      </c>
      <c r="L80" s="420">
        <v>42614</v>
      </c>
      <c r="M80" s="420">
        <v>42637</v>
      </c>
      <c r="N80" s="6">
        <v>365</v>
      </c>
      <c r="O80" s="420">
        <v>43002</v>
      </c>
      <c r="P80" s="7" t="s">
        <v>250</v>
      </c>
      <c r="Q80" s="25" t="s">
        <v>133</v>
      </c>
      <c r="R80" s="11" t="s">
        <v>134</v>
      </c>
      <c r="S80" s="166" t="s">
        <v>323</v>
      </c>
      <c r="T80" s="127"/>
      <c r="U80" s="386"/>
      <c r="V80" s="127"/>
      <c r="W80" s="127"/>
      <c r="X80" s="127"/>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row>
    <row r="81" spans="1:240" s="4" customFormat="1" ht="109.5" customHeight="1" x14ac:dyDescent="0.2">
      <c r="A81" s="21">
        <f t="shared" si="6"/>
        <v>75</v>
      </c>
      <c r="B81" s="16" t="s">
        <v>137</v>
      </c>
      <c r="C81" s="22" t="s">
        <v>16</v>
      </c>
      <c r="D81" s="23" t="s">
        <v>211</v>
      </c>
      <c r="E81" s="116">
        <v>312020601</v>
      </c>
      <c r="F81" s="115" t="s">
        <v>131</v>
      </c>
      <c r="G81" s="14" t="s">
        <v>77</v>
      </c>
      <c r="H81" s="10" t="s">
        <v>28</v>
      </c>
      <c r="I81" s="407">
        <v>0</v>
      </c>
      <c r="J81" s="26"/>
      <c r="K81" s="419">
        <v>42410</v>
      </c>
      <c r="L81" s="420">
        <v>42492</v>
      </c>
      <c r="M81" s="420">
        <f>L81+5</f>
        <v>42497</v>
      </c>
      <c r="N81" s="6">
        <v>365</v>
      </c>
      <c r="O81" s="420">
        <f>M81+N81</f>
        <v>42862</v>
      </c>
      <c r="P81" s="7" t="s">
        <v>251</v>
      </c>
      <c r="Q81" s="25" t="s">
        <v>135</v>
      </c>
      <c r="R81" s="11" t="s">
        <v>136</v>
      </c>
      <c r="S81" s="205" t="s">
        <v>323</v>
      </c>
      <c r="T81" s="166" t="s">
        <v>322</v>
      </c>
      <c r="U81" s="179" t="s">
        <v>600</v>
      </c>
      <c r="V81" s="127"/>
      <c r="W81" s="127"/>
      <c r="X81" s="127"/>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row>
    <row r="82" spans="1:240" s="4" customFormat="1" ht="321.75" customHeight="1" x14ac:dyDescent="0.2">
      <c r="A82" s="21">
        <f t="shared" si="6"/>
        <v>76</v>
      </c>
      <c r="B82" s="16" t="s">
        <v>141</v>
      </c>
      <c r="C82" s="22">
        <v>33</v>
      </c>
      <c r="D82" s="10" t="s">
        <v>24</v>
      </c>
      <c r="E82" s="198" t="s">
        <v>25</v>
      </c>
      <c r="F82" s="14" t="s">
        <v>26</v>
      </c>
      <c r="G82" s="168" t="s">
        <v>103</v>
      </c>
      <c r="H82" s="168" t="s">
        <v>215</v>
      </c>
      <c r="I82" s="26">
        <v>860000000</v>
      </c>
      <c r="J82" s="26"/>
      <c r="K82" s="427">
        <v>42508</v>
      </c>
      <c r="L82" s="427">
        <v>42631</v>
      </c>
      <c r="M82" s="427">
        <v>42636</v>
      </c>
      <c r="N82" s="26">
        <v>180</v>
      </c>
      <c r="O82" s="490">
        <f>+M82+N82</f>
        <v>42816</v>
      </c>
      <c r="P82" s="160" t="s">
        <v>139</v>
      </c>
      <c r="Q82" s="11" t="s">
        <v>813</v>
      </c>
      <c r="R82" s="11" t="s">
        <v>140</v>
      </c>
      <c r="S82" s="166" t="s">
        <v>271</v>
      </c>
      <c r="T82" s="223" t="s">
        <v>726</v>
      </c>
      <c r="U82" s="179" t="s">
        <v>302</v>
      </c>
      <c r="V82" s="166" t="s">
        <v>270</v>
      </c>
      <c r="W82" s="205"/>
      <c r="X82" s="127"/>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s="18" customFormat="1" ht="209.25" customHeight="1" x14ac:dyDescent="0.2">
      <c r="A83" s="21">
        <f t="shared" si="6"/>
        <v>77</v>
      </c>
      <c r="B83" s="13" t="s">
        <v>104</v>
      </c>
      <c r="C83" s="172" t="s">
        <v>143</v>
      </c>
      <c r="D83" s="23" t="s">
        <v>105</v>
      </c>
      <c r="E83" s="153">
        <v>311020301</v>
      </c>
      <c r="F83" s="154" t="s">
        <v>305</v>
      </c>
      <c r="G83" s="9" t="s">
        <v>81</v>
      </c>
      <c r="H83" s="9" t="s">
        <v>28</v>
      </c>
      <c r="I83" s="20">
        <v>15200000</v>
      </c>
      <c r="J83" s="20">
        <v>15200000</v>
      </c>
      <c r="K83" s="428">
        <v>42394</v>
      </c>
      <c r="L83" s="425">
        <v>42424</v>
      </c>
      <c r="M83" s="425">
        <v>42429</v>
      </c>
      <c r="N83" s="21">
        <v>120</v>
      </c>
      <c r="O83" s="425">
        <v>42549</v>
      </c>
      <c r="P83" s="201" t="s">
        <v>524</v>
      </c>
      <c r="Q83" s="343" t="s">
        <v>733</v>
      </c>
      <c r="R83" s="11" t="s">
        <v>334</v>
      </c>
      <c r="S83" s="170" t="s">
        <v>331</v>
      </c>
      <c r="T83" s="9" t="s">
        <v>525</v>
      </c>
      <c r="U83" s="166" t="s">
        <v>310</v>
      </c>
      <c r="V83" s="128"/>
      <c r="W83" s="342" t="s">
        <v>462</v>
      </c>
      <c r="X83" s="128"/>
      <c r="AA83" s="468"/>
    </row>
    <row r="84" spans="1:240" s="18" customFormat="1" ht="167.25" customHeight="1" x14ac:dyDescent="0.2">
      <c r="A84" s="21">
        <f t="shared" si="6"/>
        <v>78</v>
      </c>
      <c r="B84" s="13" t="s">
        <v>104</v>
      </c>
      <c r="C84" s="172" t="s">
        <v>119</v>
      </c>
      <c r="D84" s="23" t="s">
        <v>120</v>
      </c>
      <c r="E84" s="153">
        <v>3120105</v>
      </c>
      <c r="F84" s="154" t="s">
        <v>130</v>
      </c>
      <c r="G84" s="9" t="s">
        <v>77</v>
      </c>
      <c r="H84" s="9" t="s">
        <v>63</v>
      </c>
      <c r="I84" s="20">
        <v>18000000</v>
      </c>
      <c r="J84" s="20"/>
      <c r="K84" s="428">
        <v>42443</v>
      </c>
      <c r="L84" s="425">
        <f>K84+50</f>
        <v>42493</v>
      </c>
      <c r="M84" s="425">
        <f>L84+5</f>
        <v>42498</v>
      </c>
      <c r="N84" s="21">
        <v>5</v>
      </c>
      <c r="O84" s="425">
        <f>M84+N84</f>
        <v>42503</v>
      </c>
      <c r="P84" s="7" t="s">
        <v>645</v>
      </c>
      <c r="Q84" s="9" t="s">
        <v>644</v>
      </c>
      <c r="R84" s="9" t="s">
        <v>540</v>
      </c>
      <c r="S84" s="349" t="s">
        <v>331</v>
      </c>
      <c r="T84" s="9" t="s">
        <v>643</v>
      </c>
      <c r="U84" s="179" t="s">
        <v>302</v>
      </c>
      <c r="V84" s="128"/>
      <c r="W84" s="342" t="s">
        <v>462</v>
      </c>
      <c r="X84" s="128"/>
    </row>
    <row r="85" spans="1:240" s="4" customFormat="1" ht="153.75" customHeight="1" x14ac:dyDescent="0.2">
      <c r="A85" s="21">
        <f t="shared" si="6"/>
        <v>79</v>
      </c>
      <c r="B85" s="171" t="s">
        <v>142</v>
      </c>
      <c r="C85" s="172" t="s">
        <v>143</v>
      </c>
      <c r="D85" s="23" t="s">
        <v>105</v>
      </c>
      <c r="E85" s="173">
        <v>311020301</v>
      </c>
      <c r="F85" s="24" t="s">
        <v>80</v>
      </c>
      <c r="G85" s="9" t="s">
        <v>81</v>
      </c>
      <c r="H85" s="10" t="s">
        <v>218</v>
      </c>
      <c r="I85" s="174">
        <v>32000000</v>
      </c>
      <c r="J85" s="174">
        <v>32000000</v>
      </c>
      <c r="K85" s="419">
        <v>42396</v>
      </c>
      <c r="L85" s="419">
        <v>42424</v>
      </c>
      <c r="M85" s="420">
        <v>42430</v>
      </c>
      <c r="N85" s="6">
        <v>120</v>
      </c>
      <c r="O85" s="420">
        <v>42552</v>
      </c>
      <c r="P85" s="7" t="s">
        <v>144</v>
      </c>
      <c r="Q85" s="343" t="s">
        <v>539</v>
      </c>
      <c r="R85" s="175" t="s">
        <v>523</v>
      </c>
      <c r="S85" s="166" t="s">
        <v>335</v>
      </c>
      <c r="T85" s="175" t="s">
        <v>521</v>
      </c>
      <c r="U85" s="175" t="s">
        <v>310</v>
      </c>
      <c r="V85" s="127"/>
      <c r="W85" s="342" t="s">
        <v>522</v>
      </c>
      <c r="X85" s="127"/>
      <c r="Y85" s="3"/>
      <c r="Z85" s="3"/>
      <c r="AA85" s="468"/>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row>
    <row r="86" spans="1:240" s="218" customFormat="1" ht="118.5" customHeight="1" x14ac:dyDescent="0.2">
      <c r="A86" s="21">
        <f t="shared" si="6"/>
        <v>80</v>
      </c>
      <c r="B86" s="14" t="s">
        <v>145</v>
      </c>
      <c r="C86" s="173">
        <v>31201</v>
      </c>
      <c r="D86" s="23" t="s">
        <v>120</v>
      </c>
      <c r="E86" s="184">
        <v>3120104</v>
      </c>
      <c r="F86" s="14" t="s">
        <v>124</v>
      </c>
      <c r="G86" s="14" t="s">
        <v>32</v>
      </c>
      <c r="H86" s="160" t="s">
        <v>63</v>
      </c>
      <c r="I86" s="169">
        <v>7000000</v>
      </c>
      <c r="J86" s="169"/>
      <c r="K86" s="419">
        <v>42475</v>
      </c>
      <c r="L86" s="420">
        <v>42529</v>
      </c>
      <c r="M86" s="420">
        <v>42534</v>
      </c>
      <c r="N86" s="176">
        <v>60</v>
      </c>
      <c r="O86" s="420">
        <v>42594</v>
      </c>
      <c r="P86" s="215" t="s">
        <v>146</v>
      </c>
      <c r="Q86" s="25" t="s">
        <v>622</v>
      </c>
      <c r="R86" s="11" t="s">
        <v>147</v>
      </c>
      <c r="S86" s="220" t="s">
        <v>272</v>
      </c>
      <c r="T86" s="220" t="s">
        <v>624</v>
      </c>
      <c r="U86" s="220" t="s">
        <v>302</v>
      </c>
      <c r="V86" s="216"/>
      <c r="W86" s="216"/>
      <c r="X86" s="216"/>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c r="BR86" s="217"/>
      <c r="BS86" s="217"/>
      <c r="BT86" s="217"/>
      <c r="BU86" s="217"/>
      <c r="BV86" s="217"/>
      <c r="BW86" s="217"/>
      <c r="BX86" s="217"/>
      <c r="BY86" s="217"/>
      <c r="BZ86" s="217"/>
      <c r="CA86" s="217"/>
      <c r="CB86" s="217"/>
      <c r="CC86" s="217"/>
      <c r="CD86" s="217"/>
      <c r="CE86" s="217"/>
      <c r="CF86" s="217"/>
      <c r="CG86" s="217"/>
      <c r="CH86" s="217"/>
      <c r="CI86" s="217"/>
      <c r="CJ86" s="217"/>
      <c r="CK86" s="217"/>
      <c r="CL86" s="217"/>
      <c r="CM86" s="217"/>
      <c r="CN86" s="217"/>
      <c r="CO86" s="217"/>
      <c r="CP86" s="217"/>
      <c r="CQ86" s="217"/>
      <c r="CR86" s="217"/>
      <c r="CS86" s="217"/>
      <c r="CT86" s="217"/>
      <c r="CU86" s="217"/>
      <c r="CV86" s="217"/>
      <c r="CW86" s="217"/>
      <c r="CX86" s="217"/>
      <c r="CY86" s="217"/>
      <c r="CZ86" s="217"/>
      <c r="DA86" s="217"/>
      <c r="DB86" s="217"/>
      <c r="DC86" s="217"/>
      <c r="DD86" s="217"/>
      <c r="DE86" s="217"/>
      <c r="DF86" s="217"/>
      <c r="DG86" s="217"/>
      <c r="DH86" s="217"/>
      <c r="DI86" s="217"/>
      <c r="DJ86" s="217"/>
      <c r="DK86" s="217"/>
      <c r="DL86" s="217"/>
      <c r="DM86" s="217"/>
      <c r="DN86" s="217"/>
      <c r="DO86" s="217"/>
      <c r="DP86" s="217"/>
      <c r="DQ86" s="217"/>
      <c r="DR86" s="217"/>
      <c r="DS86" s="217"/>
      <c r="DT86" s="217"/>
      <c r="DU86" s="217"/>
      <c r="DV86" s="217"/>
      <c r="DW86" s="217"/>
      <c r="DX86" s="217"/>
      <c r="DY86" s="217"/>
      <c r="DZ86" s="217"/>
      <c r="EA86" s="217"/>
      <c r="EB86" s="217"/>
      <c r="EC86" s="217"/>
      <c r="ED86" s="217"/>
      <c r="EE86" s="217"/>
      <c r="EF86" s="217"/>
      <c r="EG86" s="217"/>
      <c r="EH86" s="217"/>
      <c r="EI86" s="217"/>
      <c r="EJ86" s="217"/>
      <c r="EK86" s="217"/>
      <c r="EL86" s="217"/>
      <c r="EM86" s="217"/>
      <c r="EN86" s="217"/>
      <c r="EO86" s="217"/>
      <c r="EP86" s="217"/>
      <c r="EQ86" s="217"/>
      <c r="ER86" s="217"/>
      <c r="ES86" s="217"/>
      <c r="ET86" s="217"/>
      <c r="EU86" s="217"/>
      <c r="EV86" s="217"/>
      <c r="EW86" s="217"/>
      <c r="EX86" s="217"/>
      <c r="EY86" s="217"/>
      <c r="EZ86" s="217"/>
      <c r="FA86" s="217"/>
      <c r="FB86" s="217"/>
      <c r="FC86" s="217"/>
      <c r="FD86" s="217"/>
      <c r="FE86" s="217"/>
      <c r="FF86" s="217"/>
      <c r="FG86" s="217"/>
      <c r="FH86" s="217"/>
      <c r="FI86" s="217"/>
      <c r="FJ86" s="217"/>
      <c r="FK86" s="217"/>
      <c r="FL86" s="217"/>
      <c r="FM86" s="217"/>
      <c r="FN86" s="217"/>
      <c r="FO86" s="217"/>
      <c r="FP86" s="217"/>
      <c r="FQ86" s="217"/>
      <c r="FR86" s="217"/>
      <c r="FS86" s="217"/>
      <c r="FT86" s="217"/>
      <c r="FU86" s="217"/>
      <c r="FV86" s="217"/>
      <c r="FW86" s="217"/>
      <c r="FX86" s="217"/>
      <c r="FY86" s="217"/>
      <c r="FZ86" s="217"/>
      <c r="GA86" s="217"/>
      <c r="GB86" s="217"/>
      <c r="GC86" s="217"/>
      <c r="GD86" s="217"/>
      <c r="GE86" s="217"/>
      <c r="GF86" s="217"/>
      <c r="GG86" s="217"/>
      <c r="GH86" s="217"/>
      <c r="GI86" s="217"/>
      <c r="GJ86" s="217"/>
      <c r="GK86" s="217"/>
      <c r="GL86" s="217"/>
      <c r="GM86" s="217"/>
      <c r="GN86" s="217"/>
      <c r="GO86" s="217"/>
      <c r="GP86" s="217"/>
      <c r="GQ86" s="217"/>
      <c r="GR86" s="217"/>
      <c r="GS86" s="217"/>
      <c r="GT86" s="217"/>
      <c r="GU86" s="217"/>
      <c r="GV86" s="217"/>
      <c r="GW86" s="217"/>
      <c r="GX86" s="217"/>
      <c r="GY86" s="217"/>
      <c r="GZ86" s="217"/>
      <c r="HA86" s="217"/>
      <c r="HB86" s="217"/>
      <c r="HC86" s="217"/>
      <c r="HD86" s="217"/>
      <c r="HE86" s="217"/>
      <c r="HF86" s="217"/>
      <c r="HG86" s="217"/>
      <c r="HH86" s="217"/>
      <c r="HI86" s="217"/>
      <c r="HJ86" s="217"/>
      <c r="HK86" s="217"/>
      <c r="HL86" s="217"/>
      <c r="HM86" s="217"/>
      <c r="HN86" s="217"/>
      <c r="HO86" s="217"/>
      <c r="HP86" s="217"/>
      <c r="HQ86" s="217"/>
      <c r="HR86" s="217"/>
      <c r="HS86" s="217"/>
      <c r="HT86" s="217"/>
      <c r="HU86" s="217"/>
      <c r="HV86" s="217"/>
      <c r="HW86" s="217"/>
      <c r="HX86" s="217"/>
      <c r="HY86" s="217"/>
      <c r="HZ86" s="217"/>
      <c r="IA86" s="217"/>
      <c r="IB86" s="217"/>
      <c r="IC86" s="217"/>
      <c r="ID86" s="217"/>
      <c r="IE86" s="217"/>
      <c r="IF86" s="217"/>
    </row>
    <row r="87" spans="1:240" s="218" customFormat="1" ht="165.75" customHeight="1" x14ac:dyDescent="0.2">
      <c r="A87" s="21">
        <f t="shared" si="6"/>
        <v>81</v>
      </c>
      <c r="B87" s="14" t="s">
        <v>145</v>
      </c>
      <c r="C87" s="173">
        <v>31201</v>
      </c>
      <c r="D87" s="23" t="s">
        <v>120</v>
      </c>
      <c r="E87" s="184">
        <v>3120104</v>
      </c>
      <c r="F87" s="14" t="s">
        <v>124</v>
      </c>
      <c r="G87" s="14" t="s">
        <v>27</v>
      </c>
      <c r="H87" s="160" t="s">
        <v>19</v>
      </c>
      <c r="I87" s="169">
        <v>124153362</v>
      </c>
      <c r="J87" s="169"/>
      <c r="K87" s="420">
        <v>42556</v>
      </c>
      <c r="L87" s="420">
        <v>42640</v>
      </c>
      <c r="M87" s="420">
        <v>42643</v>
      </c>
      <c r="N87" s="176">
        <v>90</v>
      </c>
      <c r="O87" s="420">
        <v>42733</v>
      </c>
      <c r="P87" s="14" t="s">
        <v>148</v>
      </c>
      <c r="Q87" s="219" t="s">
        <v>149</v>
      </c>
      <c r="R87" s="11" t="s">
        <v>150</v>
      </c>
      <c r="S87" s="220" t="s">
        <v>272</v>
      </c>
      <c r="T87" s="216"/>
      <c r="U87" s="473"/>
      <c r="V87" s="216"/>
      <c r="W87" s="216"/>
      <c r="X87" s="216"/>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7"/>
      <c r="BR87" s="217"/>
      <c r="BS87" s="217"/>
      <c r="BT87" s="217"/>
      <c r="BU87" s="217"/>
      <c r="BV87" s="217"/>
      <c r="BW87" s="217"/>
      <c r="BX87" s="217"/>
      <c r="BY87" s="217"/>
      <c r="BZ87" s="217"/>
      <c r="CA87" s="217"/>
      <c r="CB87" s="217"/>
      <c r="CC87" s="217"/>
      <c r="CD87" s="217"/>
      <c r="CE87" s="217"/>
      <c r="CF87" s="217"/>
      <c r="CG87" s="217"/>
      <c r="CH87" s="217"/>
      <c r="CI87" s="217"/>
      <c r="CJ87" s="217"/>
      <c r="CK87" s="217"/>
      <c r="CL87" s="217"/>
      <c r="CM87" s="217"/>
      <c r="CN87" s="217"/>
      <c r="CO87" s="217"/>
      <c r="CP87" s="217"/>
      <c r="CQ87" s="217"/>
      <c r="CR87" s="217"/>
      <c r="CS87" s="217"/>
      <c r="CT87" s="217"/>
      <c r="CU87" s="217"/>
      <c r="CV87" s="217"/>
      <c r="CW87" s="217"/>
      <c r="CX87" s="217"/>
      <c r="CY87" s="217"/>
      <c r="CZ87" s="217"/>
      <c r="DA87" s="217"/>
      <c r="DB87" s="217"/>
      <c r="DC87" s="217"/>
      <c r="DD87" s="217"/>
      <c r="DE87" s="217"/>
      <c r="DF87" s="217"/>
      <c r="DG87" s="217"/>
      <c r="DH87" s="217"/>
      <c r="DI87" s="217"/>
      <c r="DJ87" s="217"/>
      <c r="DK87" s="217"/>
      <c r="DL87" s="217"/>
      <c r="DM87" s="217"/>
      <c r="DN87" s="217"/>
      <c r="DO87" s="217"/>
      <c r="DP87" s="217"/>
      <c r="DQ87" s="217"/>
      <c r="DR87" s="217"/>
      <c r="DS87" s="217"/>
      <c r="DT87" s="217"/>
      <c r="DU87" s="217"/>
      <c r="DV87" s="217"/>
      <c r="DW87" s="217"/>
      <c r="DX87" s="217"/>
      <c r="DY87" s="217"/>
      <c r="DZ87" s="217"/>
      <c r="EA87" s="217"/>
      <c r="EB87" s="217"/>
      <c r="EC87" s="217"/>
      <c r="ED87" s="217"/>
      <c r="EE87" s="217"/>
      <c r="EF87" s="217"/>
      <c r="EG87" s="217"/>
      <c r="EH87" s="217"/>
      <c r="EI87" s="217"/>
      <c r="EJ87" s="217"/>
      <c r="EK87" s="217"/>
      <c r="EL87" s="217"/>
      <c r="EM87" s="217"/>
      <c r="EN87" s="217"/>
      <c r="EO87" s="217"/>
      <c r="EP87" s="217"/>
      <c r="EQ87" s="217"/>
      <c r="ER87" s="217"/>
      <c r="ES87" s="217"/>
      <c r="ET87" s="217"/>
      <c r="EU87" s="217"/>
      <c r="EV87" s="217"/>
      <c r="EW87" s="217"/>
      <c r="EX87" s="217"/>
      <c r="EY87" s="217"/>
      <c r="EZ87" s="217"/>
      <c r="FA87" s="217"/>
      <c r="FB87" s="217"/>
      <c r="FC87" s="217"/>
      <c r="FD87" s="217"/>
      <c r="FE87" s="217"/>
      <c r="FF87" s="217"/>
      <c r="FG87" s="217"/>
      <c r="FH87" s="217"/>
      <c r="FI87" s="217"/>
      <c r="FJ87" s="217"/>
      <c r="FK87" s="217"/>
      <c r="FL87" s="217"/>
      <c r="FM87" s="217"/>
      <c r="FN87" s="217"/>
      <c r="FO87" s="217"/>
      <c r="FP87" s="217"/>
      <c r="FQ87" s="217"/>
      <c r="FR87" s="217"/>
      <c r="FS87" s="217"/>
      <c r="FT87" s="217"/>
      <c r="FU87" s="217"/>
      <c r="FV87" s="217"/>
      <c r="FW87" s="217"/>
      <c r="FX87" s="217"/>
      <c r="FY87" s="217"/>
      <c r="FZ87" s="217"/>
      <c r="GA87" s="217"/>
      <c r="GB87" s="217"/>
      <c r="GC87" s="217"/>
      <c r="GD87" s="217"/>
      <c r="GE87" s="217"/>
      <c r="GF87" s="217"/>
      <c r="GG87" s="217"/>
      <c r="GH87" s="217"/>
      <c r="GI87" s="217"/>
      <c r="GJ87" s="217"/>
      <c r="GK87" s="217"/>
      <c r="GL87" s="217"/>
      <c r="GM87" s="217"/>
      <c r="GN87" s="217"/>
      <c r="GO87" s="217"/>
      <c r="GP87" s="217"/>
      <c r="GQ87" s="217"/>
      <c r="GR87" s="217"/>
      <c r="GS87" s="217"/>
      <c r="GT87" s="217"/>
      <c r="GU87" s="217"/>
      <c r="GV87" s="217"/>
      <c r="GW87" s="217"/>
      <c r="GX87" s="217"/>
      <c r="GY87" s="217"/>
      <c r="GZ87" s="217"/>
      <c r="HA87" s="217"/>
      <c r="HB87" s="217"/>
      <c r="HC87" s="217"/>
      <c r="HD87" s="217"/>
      <c r="HE87" s="217"/>
      <c r="HF87" s="217"/>
      <c r="HG87" s="217"/>
      <c r="HH87" s="217"/>
      <c r="HI87" s="217"/>
      <c r="HJ87" s="217"/>
      <c r="HK87" s="217"/>
      <c r="HL87" s="217"/>
      <c r="HM87" s="217"/>
      <c r="HN87" s="217"/>
      <c r="HO87" s="217"/>
      <c r="HP87" s="217"/>
      <c r="HQ87" s="217"/>
      <c r="HR87" s="217"/>
      <c r="HS87" s="217"/>
      <c r="HT87" s="217"/>
      <c r="HU87" s="217"/>
      <c r="HV87" s="217"/>
      <c r="HW87" s="217"/>
      <c r="HX87" s="217"/>
      <c r="HY87" s="217"/>
      <c r="HZ87" s="217"/>
      <c r="IA87" s="217"/>
      <c r="IB87" s="217"/>
      <c r="IC87" s="217"/>
      <c r="ID87" s="217"/>
      <c r="IE87" s="217"/>
      <c r="IF87" s="217"/>
    </row>
    <row r="88" spans="1:240" s="209" customFormat="1" ht="151.5" customHeight="1" x14ac:dyDescent="0.2">
      <c r="A88" s="21">
        <f t="shared" si="6"/>
        <v>82</v>
      </c>
      <c r="B88" s="14" t="s">
        <v>145</v>
      </c>
      <c r="C88" s="173">
        <v>31201</v>
      </c>
      <c r="D88" s="23" t="s">
        <v>120</v>
      </c>
      <c r="E88" s="184">
        <v>3120103</v>
      </c>
      <c r="F88" s="14" t="s">
        <v>151</v>
      </c>
      <c r="G88" s="14" t="s">
        <v>27</v>
      </c>
      <c r="H88" s="160" t="s">
        <v>19</v>
      </c>
      <c r="I88" s="462">
        <v>108318032</v>
      </c>
      <c r="J88" s="450">
        <v>108318032</v>
      </c>
      <c r="K88" s="420">
        <v>42348</v>
      </c>
      <c r="L88" s="420">
        <v>42425</v>
      </c>
      <c r="M88" s="420">
        <v>42430</v>
      </c>
      <c r="N88" s="176">
        <v>365</v>
      </c>
      <c r="O88" s="420">
        <v>42795</v>
      </c>
      <c r="P88" s="170" t="s">
        <v>152</v>
      </c>
      <c r="Q88" s="177" t="s">
        <v>275</v>
      </c>
      <c r="R88" s="178" t="s">
        <v>343</v>
      </c>
      <c r="S88" s="220" t="s">
        <v>272</v>
      </c>
      <c r="T88" s="449" t="s">
        <v>681</v>
      </c>
      <c r="U88" s="179" t="s">
        <v>310</v>
      </c>
      <c r="V88" s="207"/>
      <c r="W88" s="207"/>
      <c r="X88" s="207"/>
      <c r="Y88" s="208"/>
      <c r="Z88" s="208"/>
      <c r="AA88" s="46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c r="DP88" s="208"/>
      <c r="DQ88" s="208"/>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08"/>
      <c r="FG88" s="208"/>
      <c r="FH88" s="208"/>
      <c r="FI88" s="208"/>
      <c r="FJ88" s="208"/>
      <c r="FK88" s="208"/>
      <c r="FL88" s="208"/>
      <c r="FM88" s="208"/>
      <c r="FN88" s="208"/>
      <c r="FO88" s="208"/>
      <c r="FP88" s="208"/>
      <c r="FQ88" s="208"/>
      <c r="FR88" s="208"/>
      <c r="FS88" s="208"/>
      <c r="FT88" s="208"/>
      <c r="FU88" s="208"/>
      <c r="FV88" s="208"/>
      <c r="FW88" s="208"/>
      <c r="FX88" s="208"/>
      <c r="FY88" s="208"/>
      <c r="FZ88" s="208"/>
      <c r="GA88" s="208"/>
      <c r="GB88" s="208"/>
      <c r="GC88" s="208"/>
      <c r="GD88" s="208"/>
      <c r="GE88" s="208"/>
      <c r="GF88" s="208"/>
      <c r="GG88" s="208"/>
      <c r="GH88" s="208"/>
      <c r="GI88" s="208"/>
      <c r="GJ88" s="208"/>
      <c r="GK88" s="208"/>
      <c r="GL88" s="208"/>
      <c r="GM88" s="208"/>
      <c r="GN88" s="208"/>
      <c r="GO88" s="208"/>
      <c r="GP88" s="208"/>
      <c r="GQ88" s="208"/>
      <c r="GR88" s="208"/>
      <c r="GS88" s="208"/>
      <c r="GT88" s="208"/>
      <c r="GU88" s="208"/>
      <c r="GV88" s="208"/>
      <c r="GW88" s="208"/>
      <c r="GX88" s="208"/>
      <c r="GY88" s="208"/>
      <c r="GZ88" s="208"/>
      <c r="HA88" s="208"/>
      <c r="HB88" s="208"/>
      <c r="HC88" s="208"/>
      <c r="HD88" s="208"/>
      <c r="HE88" s="208"/>
      <c r="HF88" s="208"/>
      <c r="HG88" s="208"/>
      <c r="HH88" s="208"/>
      <c r="HI88" s="208"/>
      <c r="HJ88" s="208"/>
      <c r="HK88" s="208"/>
      <c r="HL88" s="208"/>
      <c r="HM88" s="208"/>
      <c r="HN88" s="208"/>
      <c r="HO88" s="208"/>
      <c r="HP88" s="208"/>
      <c r="HQ88" s="208"/>
      <c r="HR88" s="208"/>
      <c r="HS88" s="208"/>
      <c r="HT88" s="208"/>
      <c r="HU88" s="208"/>
      <c r="HV88" s="208"/>
      <c r="HW88" s="208"/>
      <c r="HX88" s="208"/>
      <c r="HY88" s="208"/>
      <c r="HZ88" s="208"/>
      <c r="IA88" s="208"/>
      <c r="IB88" s="208"/>
      <c r="IC88" s="208"/>
      <c r="ID88" s="208"/>
      <c r="IE88" s="208"/>
      <c r="IF88" s="208"/>
    </row>
    <row r="89" spans="1:240" s="218" customFormat="1" ht="131.25" customHeight="1" x14ac:dyDescent="0.2">
      <c r="A89" s="21">
        <f t="shared" si="6"/>
        <v>83</v>
      </c>
      <c r="B89" s="14" t="s">
        <v>145</v>
      </c>
      <c r="C89" s="22" t="s">
        <v>16</v>
      </c>
      <c r="D89" s="23" t="s">
        <v>211</v>
      </c>
      <c r="E89" s="184">
        <v>312020501</v>
      </c>
      <c r="F89" s="14" t="s">
        <v>153</v>
      </c>
      <c r="G89" s="14" t="s">
        <v>32</v>
      </c>
      <c r="H89" s="160" t="s">
        <v>19</v>
      </c>
      <c r="I89" s="169">
        <v>25456345</v>
      </c>
      <c r="J89" s="169"/>
      <c r="K89" s="420">
        <v>42496</v>
      </c>
      <c r="L89" s="420">
        <v>42559</v>
      </c>
      <c r="M89" s="420">
        <v>42565</v>
      </c>
      <c r="N89" s="176">
        <v>365</v>
      </c>
      <c r="O89" s="420">
        <v>42930</v>
      </c>
      <c r="P89" s="170" t="s">
        <v>154</v>
      </c>
      <c r="Q89" s="177" t="s">
        <v>155</v>
      </c>
      <c r="R89" s="178" t="s">
        <v>156</v>
      </c>
      <c r="S89" s="220" t="s">
        <v>272</v>
      </c>
      <c r="T89" s="216"/>
      <c r="U89" s="473"/>
      <c r="V89" s="216"/>
      <c r="W89" s="216"/>
      <c r="X89" s="216"/>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7"/>
      <c r="CD89" s="217"/>
      <c r="CE89" s="217"/>
      <c r="CF89" s="217"/>
      <c r="CG89" s="217"/>
      <c r="CH89" s="217"/>
      <c r="CI89" s="217"/>
      <c r="CJ89" s="217"/>
      <c r="CK89" s="217"/>
      <c r="CL89" s="217"/>
      <c r="CM89" s="217"/>
      <c r="CN89" s="217"/>
      <c r="CO89" s="217"/>
      <c r="CP89" s="217"/>
      <c r="CQ89" s="217"/>
      <c r="CR89" s="217"/>
      <c r="CS89" s="217"/>
      <c r="CT89" s="217"/>
      <c r="CU89" s="217"/>
      <c r="CV89" s="217"/>
      <c r="CW89" s="217"/>
      <c r="CX89" s="217"/>
      <c r="CY89" s="217"/>
      <c r="CZ89" s="217"/>
      <c r="DA89" s="217"/>
      <c r="DB89" s="217"/>
      <c r="DC89" s="217"/>
      <c r="DD89" s="217"/>
      <c r="DE89" s="217"/>
      <c r="DF89" s="217"/>
      <c r="DG89" s="217"/>
      <c r="DH89" s="217"/>
      <c r="DI89" s="217"/>
      <c r="DJ89" s="217"/>
      <c r="DK89" s="217"/>
      <c r="DL89" s="217"/>
      <c r="DM89" s="217"/>
      <c r="DN89" s="217"/>
      <c r="DO89" s="217"/>
      <c r="DP89" s="217"/>
      <c r="DQ89" s="217"/>
      <c r="DR89" s="217"/>
      <c r="DS89" s="217"/>
      <c r="DT89" s="217"/>
      <c r="DU89" s="217"/>
      <c r="DV89" s="217"/>
      <c r="DW89" s="217"/>
      <c r="DX89" s="217"/>
      <c r="DY89" s="217"/>
      <c r="DZ89" s="217"/>
      <c r="EA89" s="217"/>
      <c r="EB89" s="217"/>
      <c r="EC89" s="217"/>
      <c r="ED89" s="217"/>
      <c r="EE89" s="217"/>
      <c r="EF89" s="217"/>
      <c r="EG89" s="217"/>
      <c r="EH89" s="217"/>
      <c r="EI89" s="217"/>
      <c r="EJ89" s="217"/>
      <c r="EK89" s="217"/>
      <c r="EL89" s="217"/>
      <c r="EM89" s="217"/>
      <c r="EN89" s="217"/>
      <c r="EO89" s="217"/>
      <c r="EP89" s="217"/>
      <c r="EQ89" s="217"/>
      <c r="ER89" s="217"/>
      <c r="ES89" s="217"/>
      <c r="ET89" s="217"/>
      <c r="EU89" s="217"/>
      <c r="EV89" s="217"/>
      <c r="EW89" s="217"/>
      <c r="EX89" s="217"/>
      <c r="EY89" s="217"/>
      <c r="EZ89" s="217"/>
      <c r="FA89" s="217"/>
      <c r="FB89" s="217"/>
      <c r="FC89" s="217"/>
      <c r="FD89" s="217"/>
      <c r="FE89" s="217"/>
      <c r="FF89" s="217"/>
      <c r="FG89" s="217"/>
      <c r="FH89" s="217"/>
      <c r="FI89" s="217"/>
      <c r="FJ89" s="217"/>
      <c r="FK89" s="217"/>
      <c r="FL89" s="217"/>
      <c r="FM89" s="217"/>
      <c r="FN89" s="217"/>
      <c r="FO89" s="217"/>
      <c r="FP89" s="217"/>
      <c r="FQ89" s="217"/>
      <c r="FR89" s="217"/>
      <c r="FS89" s="217"/>
      <c r="FT89" s="217"/>
      <c r="FU89" s="217"/>
      <c r="FV89" s="217"/>
      <c r="FW89" s="217"/>
      <c r="FX89" s="217"/>
      <c r="FY89" s="217"/>
      <c r="FZ89" s="217"/>
      <c r="GA89" s="217"/>
      <c r="GB89" s="217"/>
      <c r="GC89" s="217"/>
      <c r="GD89" s="217"/>
      <c r="GE89" s="217"/>
      <c r="GF89" s="217"/>
      <c r="GG89" s="217"/>
      <c r="GH89" s="217"/>
      <c r="GI89" s="217"/>
      <c r="GJ89" s="217"/>
      <c r="GK89" s="217"/>
      <c r="GL89" s="217"/>
      <c r="GM89" s="217"/>
      <c r="GN89" s="217"/>
      <c r="GO89" s="217"/>
      <c r="GP89" s="217"/>
      <c r="GQ89" s="217"/>
      <c r="GR89" s="217"/>
      <c r="GS89" s="217"/>
      <c r="GT89" s="217"/>
      <c r="GU89" s="217"/>
      <c r="GV89" s="217"/>
      <c r="GW89" s="217"/>
      <c r="GX89" s="217"/>
      <c r="GY89" s="217"/>
      <c r="GZ89" s="217"/>
      <c r="HA89" s="217"/>
      <c r="HB89" s="217"/>
      <c r="HC89" s="217"/>
      <c r="HD89" s="217"/>
      <c r="HE89" s="217"/>
      <c r="HF89" s="217"/>
      <c r="HG89" s="217"/>
      <c r="HH89" s="217"/>
      <c r="HI89" s="217"/>
      <c r="HJ89" s="217"/>
      <c r="HK89" s="217"/>
      <c r="HL89" s="217"/>
      <c r="HM89" s="217"/>
      <c r="HN89" s="217"/>
      <c r="HO89" s="217"/>
      <c r="HP89" s="217"/>
      <c r="HQ89" s="217"/>
      <c r="HR89" s="217"/>
      <c r="HS89" s="217"/>
      <c r="HT89" s="217"/>
      <c r="HU89" s="217"/>
      <c r="HV89" s="217"/>
      <c r="HW89" s="217"/>
      <c r="HX89" s="217"/>
      <c r="HY89" s="217"/>
      <c r="HZ89" s="217"/>
      <c r="IA89" s="217"/>
      <c r="IB89" s="217"/>
      <c r="IC89" s="217"/>
      <c r="ID89" s="217"/>
      <c r="IE89" s="217"/>
      <c r="IF89" s="217"/>
    </row>
    <row r="90" spans="1:240" s="18" customFormat="1" ht="79.5" customHeight="1" x14ac:dyDescent="0.2">
      <c r="A90" s="21">
        <f t="shared" si="6"/>
        <v>84</v>
      </c>
      <c r="B90" s="14" t="s">
        <v>145</v>
      </c>
      <c r="C90" s="173">
        <v>31201</v>
      </c>
      <c r="D90" s="23" t="s">
        <v>120</v>
      </c>
      <c r="E90" s="184">
        <v>3120103</v>
      </c>
      <c r="F90" s="14" t="s">
        <v>151</v>
      </c>
      <c r="G90" s="14" t="s">
        <v>32</v>
      </c>
      <c r="H90" s="160" t="s">
        <v>19</v>
      </c>
      <c r="I90" s="169">
        <v>15711000.000000002</v>
      </c>
      <c r="J90" s="169"/>
      <c r="K90" s="420">
        <v>42480</v>
      </c>
      <c r="L90" s="420">
        <v>42527</v>
      </c>
      <c r="M90" s="420">
        <v>42530</v>
      </c>
      <c r="N90" s="176">
        <v>365</v>
      </c>
      <c r="O90" s="420">
        <v>42895</v>
      </c>
      <c r="P90" s="170" t="s">
        <v>157</v>
      </c>
      <c r="Q90" s="177" t="s">
        <v>158</v>
      </c>
      <c r="R90" s="221" t="s">
        <v>159</v>
      </c>
      <c r="S90" s="220" t="s">
        <v>272</v>
      </c>
      <c r="T90" s="179" t="s">
        <v>638</v>
      </c>
      <c r="U90" s="179" t="s">
        <v>302</v>
      </c>
      <c r="V90" s="128"/>
      <c r="W90" s="128"/>
      <c r="X90" s="128"/>
    </row>
    <row r="91" spans="1:240" s="18" customFormat="1" ht="90" customHeight="1" x14ac:dyDescent="0.2">
      <c r="A91" s="21">
        <f t="shared" si="6"/>
        <v>85</v>
      </c>
      <c r="B91" s="14" t="s">
        <v>145</v>
      </c>
      <c r="C91" s="173">
        <v>31201</v>
      </c>
      <c r="D91" s="23" t="s">
        <v>120</v>
      </c>
      <c r="E91" s="184">
        <v>3120103</v>
      </c>
      <c r="F91" s="14" t="s">
        <v>151</v>
      </c>
      <c r="G91" s="14" t="s">
        <v>32</v>
      </c>
      <c r="H91" s="160" t="s">
        <v>19</v>
      </c>
      <c r="I91" s="169">
        <v>28000000</v>
      </c>
      <c r="J91" s="169"/>
      <c r="K91" s="420">
        <v>42514</v>
      </c>
      <c r="L91" s="420">
        <v>42577</v>
      </c>
      <c r="M91" s="420">
        <v>42580</v>
      </c>
      <c r="N91" s="176">
        <v>90</v>
      </c>
      <c r="O91" s="420">
        <v>42670</v>
      </c>
      <c r="P91" s="170" t="s">
        <v>256</v>
      </c>
      <c r="Q91" s="177" t="s">
        <v>257</v>
      </c>
      <c r="R91" s="221" t="s">
        <v>258</v>
      </c>
      <c r="S91" s="220" t="s">
        <v>272</v>
      </c>
      <c r="T91" s="128"/>
      <c r="U91" s="474"/>
      <c r="V91" s="128"/>
      <c r="W91" s="128"/>
      <c r="X91" s="128"/>
    </row>
    <row r="92" spans="1:240" s="18" customFormat="1" ht="86.25" customHeight="1" x14ac:dyDescent="0.2">
      <c r="A92" s="21">
        <f t="shared" si="6"/>
        <v>86</v>
      </c>
      <c r="B92" s="14" t="s">
        <v>145</v>
      </c>
      <c r="C92" s="173">
        <v>31201</v>
      </c>
      <c r="D92" s="114" t="s">
        <v>120</v>
      </c>
      <c r="E92" s="184">
        <v>3120102</v>
      </c>
      <c r="F92" s="214" t="s">
        <v>160</v>
      </c>
      <c r="G92" s="14" t="s">
        <v>27</v>
      </c>
      <c r="H92" s="160" t="s">
        <v>28</v>
      </c>
      <c r="I92" s="169">
        <f>50000000-18628800-1500200</f>
        <v>29871000</v>
      </c>
      <c r="J92" s="169"/>
      <c r="K92" s="420">
        <v>42591</v>
      </c>
      <c r="L92" s="420">
        <v>42675</v>
      </c>
      <c r="M92" s="420">
        <v>42678</v>
      </c>
      <c r="N92" s="176">
        <v>365</v>
      </c>
      <c r="O92" s="420">
        <v>43043</v>
      </c>
      <c r="P92" s="170" t="s">
        <v>161</v>
      </c>
      <c r="Q92" s="177" t="s">
        <v>611</v>
      </c>
      <c r="R92" s="221" t="s">
        <v>162</v>
      </c>
      <c r="S92" s="220" t="s">
        <v>272</v>
      </c>
      <c r="T92" s="128"/>
      <c r="U92" s="474"/>
      <c r="V92" s="128"/>
      <c r="W92" s="128"/>
      <c r="X92" s="128"/>
    </row>
    <row r="93" spans="1:240" s="18" customFormat="1" ht="174" customHeight="1" x14ac:dyDescent="0.2">
      <c r="A93" s="21">
        <f t="shared" si="6"/>
        <v>87</v>
      </c>
      <c r="B93" s="14" t="s">
        <v>145</v>
      </c>
      <c r="C93" s="160">
        <v>31202</v>
      </c>
      <c r="D93" s="23" t="s">
        <v>211</v>
      </c>
      <c r="E93" s="184">
        <v>3120203</v>
      </c>
      <c r="F93" s="14" t="s">
        <v>163</v>
      </c>
      <c r="G93" s="160" t="s">
        <v>81</v>
      </c>
      <c r="H93" s="167" t="s">
        <v>214</v>
      </c>
      <c r="I93" s="169">
        <v>53000000</v>
      </c>
      <c r="J93" s="169"/>
      <c r="K93" s="420">
        <v>42479</v>
      </c>
      <c r="L93" s="420">
        <v>42491</v>
      </c>
      <c r="M93" s="420">
        <f>L93+5</f>
        <v>42496</v>
      </c>
      <c r="N93" s="176">
        <v>365</v>
      </c>
      <c r="O93" s="420">
        <f>M93+N93</f>
        <v>42861</v>
      </c>
      <c r="P93" s="170" t="s">
        <v>164</v>
      </c>
      <c r="Q93" s="177" t="s">
        <v>608</v>
      </c>
      <c r="R93" s="221" t="s">
        <v>165</v>
      </c>
      <c r="S93" s="220" t="s">
        <v>272</v>
      </c>
      <c r="T93" s="9" t="s">
        <v>646</v>
      </c>
      <c r="U93" s="179" t="s">
        <v>302</v>
      </c>
      <c r="V93" s="128"/>
      <c r="W93" s="128"/>
      <c r="X93" s="128"/>
    </row>
    <row r="94" spans="1:240" s="581" customFormat="1" ht="117.75" customHeight="1" x14ac:dyDescent="0.2">
      <c r="A94" s="21">
        <f t="shared" si="6"/>
        <v>88</v>
      </c>
      <c r="B94" s="539" t="s">
        <v>145</v>
      </c>
      <c r="C94" s="542">
        <v>31202</v>
      </c>
      <c r="D94" s="536" t="s">
        <v>211</v>
      </c>
      <c r="E94" s="577">
        <v>3120203</v>
      </c>
      <c r="F94" s="539" t="s">
        <v>163</v>
      </c>
      <c r="G94" s="542" t="s">
        <v>77</v>
      </c>
      <c r="H94" s="542" t="s">
        <v>28</v>
      </c>
      <c r="I94" s="518">
        <v>4747739</v>
      </c>
      <c r="J94" s="518">
        <v>4747739</v>
      </c>
      <c r="K94" s="526">
        <v>42461</v>
      </c>
      <c r="L94" s="526">
        <v>42516</v>
      </c>
      <c r="M94" s="526">
        <f>L94+5</f>
        <v>42521</v>
      </c>
      <c r="N94" s="604">
        <v>365</v>
      </c>
      <c r="O94" s="526">
        <f>M94+N94</f>
        <v>42886</v>
      </c>
      <c r="P94" s="608" t="s">
        <v>166</v>
      </c>
      <c r="Q94" s="609" t="s">
        <v>167</v>
      </c>
      <c r="R94" s="610" t="s">
        <v>168</v>
      </c>
      <c r="S94" s="591" t="s">
        <v>272</v>
      </c>
      <c r="T94" s="527" t="s">
        <v>843</v>
      </c>
      <c r="U94" s="547" t="s">
        <v>310</v>
      </c>
      <c r="V94" s="522"/>
      <c r="W94" s="522"/>
      <c r="X94" s="522"/>
    </row>
    <row r="95" spans="1:240" s="188" customFormat="1" ht="109.5" customHeight="1" x14ac:dyDescent="0.2">
      <c r="A95" s="21">
        <f t="shared" si="6"/>
        <v>89</v>
      </c>
      <c r="B95" s="14" t="s">
        <v>145</v>
      </c>
      <c r="C95" s="173">
        <v>31202</v>
      </c>
      <c r="D95" s="23" t="s">
        <v>211</v>
      </c>
      <c r="E95" s="184">
        <v>3120204</v>
      </c>
      <c r="F95" s="214" t="s">
        <v>230</v>
      </c>
      <c r="G95" s="160" t="s">
        <v>27</v>
      </c>
      <c r="H95" s="160" t="s">
        <v>28</v>
      </c>
      <c r="I95" s="169">
        <v>60000000</v>
      </c>
      <c r="J95" s="169">
        <v>60000000</v>
      </c>
      <c r="K95" s="420">
        <v>42348</v>
      </c>
      <c r="L95" s="420">
        <v>42489</v>
      </c>
      <c r="M95" s="339" t="s">
        <v>685</v>
      </c>
      <c r="N95" s="176">
        <v>365</v>
      </c>
      <c r="O95" s="339" t="s">
        <v>685</v>
      </c>
      <c r="P95" s="170" t="s">
        <v>169</v>
      </c>
      <c r="Q95" s="9" t="s">
        <v>682</v>
      </c>
      <c r="R95" s="222" t="s">
        <v>683</v>
      </c>
      <c r="S95" s="220" t="s">
        <v>272</v>
      </c>
      <c r="T95" s="9" t="s">
        <v>684</v>
      </c>
      <c r="U95" s="179" t="s">
        <v>310</v>
      </c>
      <c r="V95" s="187"/>
      <c r="W95" s="187"/>
      <c r="X95" s="187"/>
      <c r="AA95" s="468"/>
    </row>
    <row r="96" spans="1:240" s="188" customFormat="1" ht="126" customHeight="1" x14ac:dyDescent="0.2">
      <c r="A96" s="21">
        <f t="shared" si="6"/>
        <v>90</v>
      </c>
      <c r="B96" s="14" t="s">
        <v>145</v>
      </c>
      <c r="C96" s="22" t="s">
        <v>16</v>
      </c>
      <c r="D96" s="23" t="s">
        <v>211</v>
      </c>
      <c r="E96" s="184">
        <v>312020501</v>
      </c>
      <c r="F96" s="14" t="s">
        <v>84</v>
      </c>
      <c r="G96" s="160" t="s">
        <v>103</v>
      </c>
      <c r="H96" s="160" t="s">
        <v>28</v>
      </c>
      <c r="I96" s="169">
        <v>873800000</v>
      </c>
      <c r="J96" s="169"/>
      <c r="K96" s="420">
        <v>42359</v>
      </c>
      <c r="L96" s="420">
        <v>42457</v>
      </c>
      <c r="M96" s="420">
        <v>42461</v>
      </c>
      <c r="N96" s="176">
        <v>365</v>
      </c>
      <c r="O96" s="420">
        <v>42826</v>
      </c>
      <c r="P96" s="170" t="s">
        <v>170</v>
      </c>
      <c r="Q96" s="177" t="s">
        <v>171</v>
      </c>
      <c r="R96" s="221" t="s">
        <v>172</v>
      </c>
      <c r="S96" s="220" t="s">
        <v>272</v>
      </c>
      <c r="T96" s="9" t="s">
        <v>478</v>
      </c>
      <c r="U96" s="179" t="s">
        <v>302</v>
      </c>
      <c r="V96" s="180"/>
      <c r="W96" s="187"/>
      <c r="X96" s="187"/>
    </row>
    <row r="97" spans="1:27" s="188" customFormat="1" ht="247.5" customHeight="1" x14ac:dyDescent="0.2">
      <c r="A97" s="21">
        <f t="shared" si="6"/>
        <v>91</v>
      </c>
      <c r="B97" s="14" t="s">
        <v>145</v>
      </c>
      <c r="C97" s="160">
        <v>31202</v>
      </c>
      <c r="D97" s="23" t="s">
        <v>211</v>
      </c>
      <c r="E97" s="184">
        <v>3120201</v>
      </c>
      <c r="F97" s="14" t="s">
        <v>173</v>
      </c>
      <c r="G97" s="160" t="s">
        <v>81</v>
      </c>
      <c r="H97" s="9" t="s">
        <v>174</v>
      </c>
      <c r="I97" s="169">
        <v>72351180</v>
      </c>
      <c r="J97" s="169">
        <v>72351180</v>
      </c>
      <c r="K97" s="420">
        <v>42377</v>
      </c>
      <c r="L97" s="420">
        <v>42401</v>
      </c>
      <c r="M97" s="420">
        <v>42403</v>
      </c>
      <c r="N97" s="176">
        <v>365</v>
      </c>
      <c r="O97" s="420">
        <v>42768</v>
      </c>
      <c r="P97" s="170" t="s">
        <v>175</v>
      </c>
      <c r="Q97" s="179" t="s">
        <v>491</v>
      </c>
      <c r="R97" s="178" t="s">
        <v>176</v>
      </c>
      <c r="S97" s="220" t="s">
        <v>272</v>
      </c>
      <c r="T97" s="223" t="s">
        <v>345</v>
      </c>
      <c r="U97" s="179" t="s">
        <v>310</v>
      </c>
      <c r="V97" s="187"/>
      <c r="W97" s="182" t="s">
        <v>462</v>
      </c>
      <c r="X97" s="187"/>
      <c r="AA97" s="468"/>
    </row>
    <row r="98" spans="1:27" s="18" customFormat="1" ht="101.25" customHeight="1" x14ac:dyDescent="0.2">
      <c r="A98" s="21">
        <f t="shared" si="6"/>
        <v>92</v>
      </c>
      <c r="B98" s="14" t="s">
        <v>145</v>
      </c>
      <c r="C98" s="22" t="s">
        <v>16</v>
      </c>
      <c r="D98" s="23" t="s">
        <v>211</v>
      </c>
      <c r="E98" s="184">
        <v>312020501</v>
      </c>
      <c r="F98" s="14" t="s">
        <v>84</v>
      </c>
      <c r="G98" s="160" t="s">
        <v>77</v>
      </c>
      <c r="H98" s="160" t="s">
        <v>28</v>
      </c>
      <c r="I98" s="169">
        <v>29877362</v>
      </c>
      <c r="J98" s="169"/>
      <c r="K98" s="420">
        <v>42513</v>
      </c>
      <c r="L98" s="420">
        <v>42576</v>
      </c>
      <c r="M98" s="420">
        <v>42580</v>
      </c>
      <c r="N98" s="176">
        <v>365</v>
      </c>
      <c r="O98" s="420">
        <v>42945</v>
      </c>
      <c r="P98" s="15" t="s">
        <v>177</v>
      </c>
      <c r="Q98" s="177" t="s">
        <v>178</v>
      </c>
      <c r="R98" s="178" t="s">
        <v>179</v>
      </c>
      <c r="S98" s="220" t="s">
        <v>272</v>
      </c>
      <c r="T98" s="128"/>
      <c r="U98" s="474"/>
      <c r="V98" s="128"/>
      <c r="W98" s="128"/>
      <c r="X98" s="128"/>
    </row>
    <row r="99" spans="1:27" s="18" customFormat="1" ht="125.25" customHeight="1" x14ac:dyDescent="0.2">
      <c r="A99" s="21">
        <f t="shared" si="6"/>
        <v>93</v>
      </c>
      <c r="B99" s="14" t="s">
        <v>145</v>
      </c>
      <c r="C99" s="22" t="s">
        <v>16</v>
      </c>
      <c r="D99" s="23" t="s">
        <v>211</v>
      </c>
      <c r="E99" s="184">
        <v>312020501</v>
      </c>
      <c r="F99" s="14" t="s">
        <v>84</v>
      </c>
      <c r="G99" s="160" t="s">
        <v>27</v>
      </c>
      <c r="H99" s="160" t="s">
        <v>28</v>
      </c>
      <c r="I99" s="169">
        <v>102537737</v>
      </c>
      <c r="J99" s="169"/>
      <c r="K99" s="420">
        <v>42543</v>
      </c>
      <c r="L99" s="420">
        <v>42627</v>
      </c>
      <c r="M99" s="420">
        <v>42632</v>
      </c>
      <c r="N99" s="176">
        <v>365</v>
      </c>
      <c r="O99" s="420">
        <v>42997</v>
      </c>
      <c r="P99" s="15" t="s">
        <v>180</v>
      </c>
      <c r="Q99" s="177" t="s">
        <v>181</v>
      </c>
      <c r="R99" s="178" t="s">
        <v>179</v>
      </c>
      <c r="S99" s="220" t="s">
        <v>272</v>
      </c>
      <c r="T99" s="128"/>
      <c r="U99" s="474"/>
      <c r="V99" s="128"/>
      <c r="W99" s="128"/>
      <c r="X99" s="128"/>
    </row>
    <row r="100" spans="1:27" s="18" customFormat="1" ht="69" customHeight="1" x14ac:dyDescent="0.2">
      <c r="A100" s="21">
        <f t="shared" si="6"/>
        <v>94</v>
      </c>
      <c r="B100" s="14" t="s">
        <v>145</v>
      </c>
      <c r="C100" s="22" t="s">
        <v>16</v>
      </c>
      <c r="D100" s="23" t="s">
        <v>211</v>
      </c>
      <c r="E100" s="184">
        <v>312020501</v>
      </c>
      <c r="F100" s="14" t="s">
        <v>84</v>
      </c>
      <c r="G100" s="160" t="s">
        <v>77</v>
      </c>
      <c r="H100" s="160" t="s">
        <v>28</v>
      </c>
      <c r="I100" s="169">
        <v>10474000.000000002</v>
      </c>
      <c r="J100" s="169"/>
      <c r="K100" s="420">
        <v>42527</v>
      </c>
      <c r="L100" s="420">
        <v>42590</v>
      </c>
      <c r="M100" s="420">
        <v>42594</v>
      </c>
      <c r="N100" s="176">
        <v>365</v>
      </c>
      <c r="O100" s="420">
        <v>42959</v>
      </c>
      <c r="P100" s="15" t="s">
        <v>182</v>
      </c>
      <c r="Q100" s="195" t="s">
        <v>183</v>
      </c>
      <c r="R100" s="178" t="s">
        <v>184</v>
      </c>
      <c r="S100" s="220" t="s">
        <v>272</v>
      </c>
      <c r="T100" s="128"/>
      <c r="U100" s="474"/>
      <c r="V100" s="128"/>
      <c r="W100" s="128"/>
      <c r="X100" s="128"/>
    </row>
    <row r="101" spans="1:27" s="18" customFormat="1" ht="155.25" customHeight="1" x14ac:dyDescent="0.2">
      <c r="A101" s="21">
        <f t="shared" si="6"/>
        <v>95</v>
      </c>
      <c r="B101" s="14" t="s">
        <v>145</v>
      </c>
      <c r="C101" s="172" t="s">
        <v>143</v>
      </c>
      <c r="D101" s="23" t="s">
        <v>105</v>
      </c>
      <c r="E101" s="173">
        <v>311020301</v>
      </c>
      <c r="F101" s="14" t="s">
        <v>80</v>
      </c>
      <c r="G101" s="160" t="s">
        <v>77</v>
      </c>
      <c r="H101" s="160" t="s">
        <v>28</v>
      </c>
      <c r="I101" s="169">
        <f>50000000-5000000</f>
        <v>45000000</v>
      </c>
      <c r="J101" s="169"/>
      <c r="K101" s="420">
        <v>42114</v>
      </c>
      <c r="L101" s="420">
        <v>42535</v>
      </c>
      <c r="M101" s="420">
        <f>L101+L839</f>
        <v>42535</v>
      </c>
      <c r="N101" s="176">
        <v>120</v>
      </c>
      <c r="O101" s="420">
        <f>M101+N101</f>
        <v>42655</v>
      </c>
      <c r="P101" s="15" t="s">
        <v>185</v>
      </c>
      <c r="Q101" s="177" t="s">
        <v>604</v>
      </c>
      <c r="R101" s="178" t="s">
        <v>186</v>
      </c>
      <c r="S101" s="220" t="s">
        <v>272</v>
      </c>
      <c r="T101" s="128"/>
      <c r="U101" s="474"/>
      <c r="V101" s="128"/>
      <c r="W101" s="128"/>
      <c r="X101" s="128"/>
    </row>
    <row r="102" spans="1:27" s="188" customFormat="1" ht="192" customHeight="1" x14ac:dyDescent="0.2">
      <c r="A102" s="21">
        <f t="shared" si="6"/>
        <v>96</v>
      </c>
      <c r="B102" s="14" t="s">
        <v>145</v>
      </c>
      <c r="C102" s="173">
        <v>33</v>
      </c>
      <c r="D102" s="10" t="s">
        <v>24</v>
      </c>
      <c r="E102" s="184" t="s">
        <v>98</v>
      </c>
      <c r="F102" s="10" t="s">
        <v>212</v>
      </c>
      <c r="G102" s="9" t="s">
        <v>199</v>
      </c>
      <c r="H102" s="160" t="s">
        <v>263</v>
      </c>
      <c r="I102" s="169">
        <v>28000000</v>
      </c>
      <c r="J102" s="169"/>
      <c r="K102" s="420">
        <v>42359</v>
      </c>
      <c r="L102" s="420">
        <v>42419</v>
      </c>
      <c r="M102" s="420">
        <v>42422</v>
      </c>
      <c r="N102" s="176">
        <v>90</v>
      </c>
      <c r="O102" s="420">
        <v>42512</v>
      </c>
      <c r="P102" s="224" t="s">
        <v>187</v>
      </c>
      <c r="Q102" s="177" t="s">
        <v>324</v>
      </c>
      <c r="R102" s="178" t="s">
        <v>255</v>
      </c>
      <c r="S102" s="220" t="s">
        <v>272</v>
      </c>
      <c r="T102" s="223" t="s">
        <v>617</v>
      </c>
      <c r="U102" s="179" t="s">
        <v>302</v>
      </c>
      <c r="V102" s="187"/>
      <c r="W102" s="187"/>
      <c r="X102" s="187"/>
    </row>
    <row r="103" spans="1:27" s="18" customFormat="1" ht="163.5" customHeight="1" x14ac:dyDescent="0.2">
      <c r="A103" s="21">
        <f t="shared" si="6"/>
        <v>97</v>
      </c>
      <c r="B103" s="14" t="s">
        <v>145</v>
      </c>
      <c r="C103" s="173">
        <v>33</v>
      </c>
      <c r="D103" s="10" t="s">
        <v>24</v>
      </c>
      <c r="E103" s="184" t="s">
        <v>98</v>
      </c>
      <c r="F103" s="10" t="s">
        <v>212</v>
      </c>
      <c r="G103" s="168" t="s">
        <v>103</v>
      </c>
      <c r="H103" s="160" t="s">
        <v>188</v>
      </c>
      <c r="I103" s="169">
        <v>312000000</v>
      </c>
      <c r="J103" s="169"/>
      <c r="K103" s="420">
        <v>42521</v>
      </c>
      <c r="L103" s="420">
        <v>42614</v>
      </c>
      <c r="M103" s="420">
        <v>42619</v>
      </c>
      <c r="N103" s="176">
        <v>180</v>
      </c>
      <c r="O103" s="420">
        <v>42799</v>
      </c>
      <c r="P103" s="15" t="s">
        <v>189</v>
      </c>
      <c r="Q103" s="177" t="s">
        <v>325</v>
      </c>
      <c r="R103" s="178" t="s">
        <v>190</v>
      </c>
      <c r="S103" s="220" t="s">
        <v>272</v>
      </c>
      <c r="T103" s="128"/>
      <c r="U103" s="474"/>
      <c r="V103" s="128"/>
      <c r="W103" s="128"/>
      <c r="X103" s="128"/>
    </row>
    <row r="104" spans="1:27" s="18" customFormat="1" ht="99" customHeight="1" x14ac:dyDescent="0.2">
      <c r="A104" s="21">
        <f t="shared" si="6"/>
        <v>98</v>
      </c>
      <c r="B104" s="14" t="s">
        <v>145</v>
      </c>
      <c r="C104" s="173">
        <v>33</v>
      </c>
      <c r="D104" s="10" t="s">
        <v>24</v>
      </c>
      <c r="E104" s="184" t="s">
        <v>98</v>
      </c>
      <c r="F104" s="10" t="s">
        <v>212</v>
      </c>
      <c r="G104" s="160" t="s">
        <v>27</v>
      </c>
      <c r="H104" s="160" t="s">
        <v>28</v>
      </c>
      <c r="I104" s="169">
        <v>100000000</v>
      </c>
      <c r="J104" s="169"/>
      <c r="K104" s="420">
        <v>42479</v>
      </c>
      <c r="L104" s="420">
        <v>42563</v>
      </c>
      <c r="M104" s="420">
        <v>42569</v>
      </c>
      <c r="N104" s="176">
        <v>150</v>
      </c>
      <c r="O104" s="420">
        <v>42719</v>
      </c>
      <c r="P104" s="15" t="s">
        <v>191</v>
      </c>
      <c r="Q104" s="177" t="s">
        <v>326</v>
      </c>
      <c r="R104" s="178" t="s">
        <v>192</v>
      </c>
      <c r="S104" s="220" t="s">
        <v>272</v>
      </c>
      <c r="T104" s="128"/>
      <c r="U104" s="474"/>
      <c r="V104" s="128"/>
      <c r="W104" s="128"/>
      <c r="X104" s="128"/>
    </row>
    <row r="105" spans="1:27" s="18" customFormat="1" ht="87" customHeight="1" x14ac:dyDescent="0.2">
      <c r="A105" s="21">
        <f t="shared" si="6"/>
        <v>99</v>
      </c>
      <c r="B105" s="14" t="s">
        <v>145</v>
      </c>
      <c r="C105" s="173">
        <v>33</v>
      </c>
      <c r="D105" s="10" t="s">
        <v>24</v>
      </c>
      <c r="E105" s="184" t="s">
        <v>98</v>
      </c>
      <c r="F105" s="10" t="s">
        <v>212</v>
      </c>
      <c r="G105" s="160" t="s">
        <v>27</v>
      </c>
      <c r="H105" s="160" t="s">
        <v>63</v>
      </c>
      <c r="I105" s="169">
        <v>43000000</v>
      </c>
      <c r="J105" s="169"/>
      <c r="K105" s="420">
        <v>42527</v>
      </c>
      <c r="L105" s="420">
        <v>42611</v>
      </c>
      <c r="M105" s="420">
        <v>42613</v>
      </c>
      <c r="N105" s="176">
        <v>60</v>
      </c>
      <c r="O105" s="420">
        <v>42673</v>
      </c>
      <c r="P105" s="15" t="s">
        <v>193</v>
      </c>
      <c r="Q105" s="177" t="s">
        <v>327</v>
      </c>
      <c r="R105" s="178" t="s">
        <v>194</v>
      </c>
      <c r="S105" s="220" t="s">
        <v>272</v>
      </c>
      <c r="T105" s="128"/>
      <c r="U105" s="474"/>
      <c r="V105" s="128"/>
      <c r="W105" s="128"/>
      <c r="X105" s="128"/>
    </row>
    <row r="106" spans="1:27" s="18" customFormat="1" ht="257.25" customHeight="1" x14ac:dyDescent="0.2">
      <c r="A106" s="21">
        <f t="shared" si="6"/>
        <v>100</v>
      </c>
      <c r="B106" s="14" t="s">
        <v>145</v>
      </c>
      <c r="C106" s="173">
        <v>33</v>
      </c>
      <c r="D106" s="10" t="s">
        <v>24</v>
      </c>
      <c r="E106" s="184" t="s">
        <v>98</v>
      </c>
      <c r="F106" s="10" t="s">
        <v>212</v>
      </c>
      <c r="G106" s="168" t="s">
        <v>103</v>
      </c>
      <c r="H106" s="160" t="s">
        <v>188</v>
      </c>
      <c r="I106" s="169">
        <v>2712000000</v>
      </c>
      <c r="J106" s="169"/>
      <c r="K106" s="420">
        <v>42510</v>
      </c>
      <c r="L106" s="420">
        <v>42602</v>
      </c>
      <c r="M106" s="420">
        <v>42607</v>
      </c>
      <c r="N106" s="176">
        <f>6*30</f>
        <v>180</v>
      </c>
      <c r="O106" s="420">
        <f>+M106+N106</f>
        <v>42787</v>
      </c>
      <c r="P106" s="15" t="s">
        <v>191</v>
      </c>
      <c r="Q106" s="177" t="s">
        <v>328</v>
      </c>
      <c r="R106" s="178" t="s">
        <v>195</v>
      </c>
      <c r="S106" s="220" t="s">
        <v>272</v>
      </c>
      <c r="T106" s="179" t="s">
        <v>739</v>
      </c>
      <c r="U106" s="9" t="s">
        <v>302</v>
      </c>
      <c r="V106" s="128"/>
      <c r="W106" s="128"/>
      <c r="X106" s="128"/>
    </row>
    <row r="107" spans="1:27" s="188" customFormat="1" ht="107.25" customHeight="1" x14ac:dyDescent="0.2">
      <c r="A107" s="21">
        <f t="shared" si="6"/>
        <v>101</v>
      </c>
      <c r="B107" s="13" t="s">
        <v>145</v>
      </c>
      <c r="C107" s="184">
        <v>33</v>
      </c>
      <c r="D107" s="10" t="s">
        <v>24</v>
      </c>
      <c r="E107" s="160" t="s">
        <v>98</v>
      </c>
      <c r="F107" s="10" t="s">
        <v>212</v>
      </c>
      <c r="G107" s="184" t="s">
        <v>77</v>
      </c>
      <c r="H107" s="14" t="s">
        <v>28</v>
      </c>
      <c r="I107" s="169">
        <v>31000000</v>
      </c>
      <c r="J107" s="169"/>
      <c r="K107" s="420">
        <v>42473</v>
      </c>
      <c r="L107" s="420">
        <v>42546</v>
      </c>
      <c r="M107" s="420">
        <f>L107+5</f>
        <v>42551</v>
      </c>
      <c r="N107" s="176">
        <v>90</v>
      </c>
      <c r="O107" s="420">
        <f>M107+N107</f>
        <v>42641</v>
      </c>
      <c r="P107" s="15" t="s">
        <v>628</v>
      </c>
      <c r="Q107" s="177" t="s">
        <v>635</v>
      </c>
      <c r="R107" s="178" t="s">
        <v>634</v>
      </c>
      <c r="S107" s="220" t="s">
        <v>272</v>
      </c>
      <c r="T107" s="179" t="s">
        <v>653</v>
      </c>
      <c r="U107" s="9" t="s">
        <v>302</v>
      </c>
      <c r="V107" s="187"/>
      <c r="W107" s="187"/>
      <c r="X107" s="187"/>
    </row>
    <row r="108" spans="1:27" s="18" customFormat="1" ht="116.25" customHeight="1" x14ac:dyDescent="0.2">
      <c r="A108" s="21">
        <f t="shared" si="6"/>
        <v>102</v>
      </c>
      <c r="B108" s="13" t="s">
        <v>145</v>
      </c>
      <c r="C108" s="184">
        <v>33</v>
      </c>
      <c r="D108" s="10" t="s">
        <v>24</v>
      </c>
      <c r="E108" s="160" t="s">
        <v>98</v>
      </c>
      <c r="F108" s="10" t="s">
        <v>212</v>
      </c>
      <c r="G108" s="168" t="s">
        <v>213</v>
      </c>
      <c r="H108" s="161" t="s">
        <v>196</v>
      </c>
      <c r="I108" s="169">
        <v>300000000</v>
      </c>
      <c r="J108" s="169"/>
      <c r="K108" s="420">
        <v>42563</v>
      </c>
      <c r="L108" s="420">
        <v>42703</v>
      </c>
      <c r="M108" s="420">
        <v>42708</v>
      </c>
      <c r="N108" s="176">
        <v>270</v>
      </c>
      <c r="O108" s="420">
        <v>42978</v>
      </c>
      <c r="P108" s="15" t="s">
        <v>197</v>
      </c>
      <c r="Q108" s="177" t="s">
        <v>329</v>
      </c>
      <c r="R108" s="178" t="s">
        <v>198</v>
      </c>
      <c r="S108" s="220" t="s">
        <v>272</v>
      </c>
      <c r="T108" s="128"/>
      <c r="U108" s="474"/>
      <c r="V108" s="128"/>
      <c r="W108" s="128"/>
      <c r="X108" s="128"/>
    </row>
    <row r="109" spans="1:27" s="18" customFormat="1" ht="116.25" customHeight="1" x14ac:dyDescent="0.2">
      <c r="A109" s="21">
        <f t="shared" si="6"/>
        <v>103</v>
      </c>
      <c r="B109" s="13" t="s">
        <v>145</v>
      </c>
      <c r="C109" s="184">
        <v>33</v>
      </c>
      <c r="D109" s="10" t="s">
        <v>24</v>
      </c>
      <c r="E109" s="160" t="s">
        <v>98</v>
      </c>
      <c r="F109" s="10" t="s">
        <v>212</v>
      </c>
      <c r="G109" s="168" t="s">
        <v>27</v>
      </c>
      <c r="H109" s="161" t="s">
        <v>63</v>
      </c>
      <c r="I109" s="169">
        <v>450000000</v>
      </c>
      <c r="J109" s="169"/>
      <c r="K109" s="27">
        <v>42597</v>
      </c>
      <c r="L109" s="27">
        <f>K109+90</f>
        <v>42687</v>
      </c>
      <c r="M109" s="27">
        <f>L109+5</f>
        <v>42692</v>
      </c>
      <c r="N109" s="176">
        <v>60</v>
      </c>
      <c r="O109" s="27">
        <f>M109+N109</f>
        <v>42752</v>
      </c>
      <c r="P109" s="510" t="s">
        <v>791</v>
      </c>
      <c r="Q109" s="195" t="s">
        <v>792</v>
      </c>
      <c r="R109" s="167" t="s">
        <v>793</v>
      </c>
      <c r="S109" s="220"/>
      <c r="T109" s="128"/>
      <c r="U109" s="474"/>
      <c r="V109" s="128"/>
      <c r="W109" s="128"/>
      <c r="X109" s="128"/>
    </row>
    <row r="110" spans="1:27" s="18" customFormat="1" ht="74.25" customHeight="1" x14ac:dyDescent="0.2">
      <c r="A110" s="21">
        <f t="shared" si="6"/>
        <v>104</v>
      </c>
      <c r="B110" s="13" t="s">
        <v>203</v>
      </c>
      <c r="C110" s="168">
        <v>33</v>
      </c>
      <c r="D110" s="164" t="s">
        <v>262</v>
      </c>
      <c r="E110" s="199" t="s">
        <v>98</v>
      </c>
      <c r="F110" s="9" t="s">
        <v>99</v>
      </c>
      <c r="G110" s="9" t="s">
        <v>199</v>
      </c>
      <c r="H110" s="9" t="s">
        <v>200</v>
      </c>
      <c r="I110" s="493">
        <v>5200000</v>
      </c>
      <c r="J110" s="128"/>
      <c r="K110" s="429">
        <v>42625</v>
      </c>
      <c r="L110" s="429">
        <f>+K110+63</f>
        <v>42688</v>
      </c>
      <c r="M110" s="429">
        <f>+L110+7</f>
        <v>42695</v>
      </c>
      <c r="N110" s="200">
        <v>15</v>
      </c>
      <c r="O110" s="429">
        <f>+M110+N110</f>
        <v>42710</v>
      </c>
      <c r="P110" s="201" t="s">
        <v>201</v>
      </c>
      <c r="Q110" s="167" t="s">
        <v>745</v>
      </c>
      <c r="R110" s="19" t="s">
        <v>202</v>
      </c>
      <c r="S110" s="179" t="s">
        <v>303</v>
      </c>
      <c r="T110" s="128"/>
      <c r="U110" s="474"/>
      <c r="V110" s="128"/>
      <c r="W110" s="128"/>
      <c r="X110" s="128"/>
    </row>
    <row r="111" spans="1:27" s="18" customFormat="1" ht="102.75" customHeight="1" x14ac:dyDescent="0.2">
      <c r="A111" s="21">
        <f t="shared" si="6"/>
        <v>105</v>
      </c>
      <c r="B111" s="13" t="s">
        <v>203</v>
      </c>
      <c r="C111" s="168">
        <v>33</v>
      </c>
      <c r="D111" s="164" t="s">
        <v>262</v>
      </c>
      <c r="E111" s="199" t="s">
        <v>98</v>
      </c>
      <c r="F111" s="9" t="s">
        <v>99</v>
      </c>
      <c r="G111" s="494" t="s">
        <v>199</v>
      </c>
      <c r="H111" s="495" t="s">
        <v>200</v>
      </c>
      <c r="I111" s="493">
        <v>1000000</v>
      </c>
      <c r="J111" s="128"/>
      <c r="K111" s="429">
        <v>42516</v>
      </c>
      <c r="L111" s="167">
        <f>+K111+63</f>
        <v>42579</v>
      </c>
      <c r="M111" s="167">
        <f>+L111+7</f>
        <v>42586</v>
      </c>
      <c r="N111" s="167">
        <v>15</v>
      </c>
      <c r="O111" s="167">
        <f>+M111+N111</f>
        <v>42601</v>
      </c>
      <c r="P111" s="167" t="s">
        <v>766</v>
      </c>
      <c r="Q111" s="167" t="s">
        <v>747</v>
      </c>
      <c r="R111" s="167" t="s">
        <v>765</v>
      </c>
      <c r="S111" s="179" t="s">
        <v>303</v>
      </c>
      <c r="T111" s="128"/>
      <c r="U111" s="474"/>
      <c r="V111" s="128"/>
      <c r="W111" s="128"/>
      <c r="X111" s="128"/>
    </row>
    <row r="112" spans="1:27" s="18" customFormat="1" ht="102.75" customHeight="1" x14ac:dyDescent="0.2">
      <c r="A112" s="21">
        <f t="shared" si="6"/>
        <v>106</v>
      </c>
      <c r="B112" s="13" t="s">
        <v>203</v>
      </c>
      <c r="C112" s="168">
        <v>33</v>
      </c>
      <c r="D112" s="164" t="s">
        <v>262</v>
      </c>
      <c r="E112" s="199" t="s">
        <v>98</v>
      </c>
      <c r="F112" s="9" t="s">
        <v>99</v>
      </c>
      <c r="G112" s="494" t="s">
        <v>199</v>
      </c>
      <c r="H112" s="495" t="s">
        <v>200</v>
      </c>
      <c r="I112" s="493">
        <v>5800000</v>
      </c>
      <c r="J112" s="128"/>
      <c r="K112" s="499">
        <v>42517</v>
      </c>
      <c r="L112" s="499">
        <f>+K112+63</f>
        <v>42580</v>
      </c>
      <c r="M112" s="499">
        <f>+L112+7</f>
        <v>42587</v>
      </c>
      <c r="N112" s="500">
        <v>30</v>
      </c>
      <c r="O112" s="501">
        <f>+M112+N112</f>
        <v>42617</v>
      </c>
      <c r="P112" s="502" t="s">
        <v>767</v>
      </c>
      <c r="Q112" s="167" t="s">
        <v>748</v>
      </c>
      <c r="R112" s="503" t="s">
        <v>768</v>
      </c>
      <c r="S112" s="179" t="s">
        <v>303</v>
      </c>
      <c r="T112" s="128"/>
      <c r="U112" s="474"/>
      <c r="V112" s="128"/>
      <c r="W112" s="128"/>
      <c r="X112" s="128"/>
    </row>
    <row r="113" spans="1:27" s="18" customFormat="1" ht="102.75" customHeight="1" x14ac:dyDescent="0.2">
      <c r="A113" s="21">
        <f t="shared" si="6"/>
        <v>107</v>
      </c>
      <c r="B113" s="13" t="s">
        <v>203</v>
      </c>
      <c r="C113" s="168">
        <v>33</v>
      </c>
      <c r="D113" s="164" t="s">
        <v>262</v>
      </c>
      <c r="E113" s="199" t="s">
        <v>98</v>
      </c>
      <c r="F113" s="9" t="s">
        <v>99</v>
      </c>
      <c r="G113" s="494" t="s">
        <v>199</v>
      </c>
      <c r="H113" s="495" t="s">
        <v>200</v>
      </c>
      <c r="I113" s="493">
        <v>22000000</v>
      </c>
      <c r="J113" s="128"/>
      <c r="K113" s="496">
        <v>42661</v>
      </c>
      <c r="L113" s="496">
        <f>+K113+63</f>
        <v>42724</v>
      </c>
      <c r="M113" s="496">
        <f>+L113+7</f>
        <v>42731</v>
      </c>
      <c r="N113" s="498">
        <v>60</v>
      </c>
      <c r="O113" s="497">
        <f>+M113+N113</f>
        <v>42791</v>
      </c>
      <c r="P113" s="504" t="s">
        <v>769</v>
      </c>
      <c r="Q113" s="167" t="s">
        <v>779</v>
      </c>
      <c r="R113" s="503" t="s">
        <v>770</v>
      </c>
      <c r="S113" s="179" t="s">
        <v>303</v>
      </c>
      <c r="T113" s="128"/>
      <c r="U113" s="474"/>
      <c r="V113" s="128"/>
      <c r="W113" s="128"/>
      <c r="X113" s="128"/>
    </row>
    <row r="114" spans="1:27" s="18" customFormat="1" ht="138" customHeight="1" x14ac:dyDescent="0.2">
      <c r="A114" s="21">
        <f t="shared" si="6"/>
        <v>108</v>
      </c>
      <c r="B114" s="13" t="s">
        <v>203</v>
      </c>
      <c r="C114" s="168">
        <v>33</v>
      </c>
      <c r="D114" s="202" t="s">
        <v>262</v>
      </c>
      <c r="E114" s="199" t="s">
        <v>98</v>
      </c>
      <c r="F114" s="9" t="s">
        <v>99</v>
      </c>
      <c r="G114" s="9" t="s">
        <v>199</v>
      </c>
      <c r="H114" s="9" t="s">
        <v>71</v>
      </c>
      <c r="I114" s="493">
        <v>5495344</v>
      </c>
      <c r="J114" s="128"/>
      <c r="K114" s="429">
        <v>42517</v>
      </c>
      <c r="L114" s="429">
        <v>42609</v>
      </c>
      <c r="M114" s="429">
        <f t="shared" ref="M114:M120" si="7">+L114+7</f>
        <v>42616</v>
      </c>
      <c r="N114" s="200">
        <v>45</v>
      </c>
      <c r="O114" s="429">
        <f t="shared" ref="O114:O120" si="8">+M114+N114</f>
        <v>42661</v>
      </c>
      <c r="P114" s="9" t="s">
        <v>277</v>
      </c>
      <c r="Q114" s="167" t="s">
        <v>746</v>
      </c>
      <c r="R114" s="167" t="s">
        <v>278</v>
      </c>
      <c r="S114" s="179" t="s">
        <v>303</v>
      </c>
      <c r="T114" s="128"/>
      <c r="U114" s="474"/>
      <c r="V114" s="128"/>
      <c r="W114" s="128"/>
      <c r="X114" s="128"/>
    </row>
    <row r="115" spans="1:27" s="18" customFormat="1" ht="101.25" customHeight="1" x14ac:dyDescent="0.2">
      <c r="A115" s="21">
        <f t="shared" si="6"/>
        <v>109</v>
      </c>
      <c r="B115" s="13" t="s">
        <v>203</v>
      </c>
      <c r="C115" s="168">
        <v>33</v>
      </c>
      <c r="D115" s="202" t="s">
        <v>262</v>
      </c>
      <c r="E115" s="199" t="s">
        <v>98</v>
      </c>
      <c r="F115" s="9" t="s">
        <v>99</v>
      </c>
      <c r="G115" s="9" t="s">
        <v>199</v>
      </c>
      <c r="H115" s="9" t="s">
        <v>71</v>
      </c>
      <c r="I115" s="493">
        <v>14000000</v>
      </c>
      <c r="J115" s="128"/>
      <c r="K115" s="429">
        <v>42489</v>
      </c>
      <c r="L115" s="429">
        <f>+K115+63</f>
        <v>42552</v>
      </c>
      <c r="M115" s="429">
        <f>+L115+7</f>
        <v>42559</v>
      </c>
      <c r="N115" s="200">
        <v>120</v>
      </c>
      <c r="O115" s="429">
        <f t="shared" si="8"/>
        <v>42679</v>
      </c>
      <c r="P115" s="9" t="s">
        <v>279</v>
      </c>
      <c r="Q115" s="167" t="s">
        <v>317</v>
      </c>
      <c r="R115" s="167" t="s">
        <v>280</v>
      </c>
      <c r="S115" s="179" t="s">
        <v>303</v>
      </c>
      <c r="T115" s="128"/>
      <c r="U115" s="474"/>
      <c r="V115" s="128"/>
      <c r="W115" s="128"/>
      <c r="X115" s="128"/>
    </row>
    <row r="116" spans="1:27" s="581" customFormat="1" ht="153.75" customHeight="1" x14ac:dyDescent="0.2">
      <c r="A116" s="21">
        <f t="shared" si="6"/>
        <v>110</v>
      </c>
      <c r="B116" s="576" t="s">
        <v>203</v>
      </c>
      <c r="C116" s="577">
        <v>33</v>
      </c>
      <c r="D116" s="578" t="s">
        <v>262</v>
      </c>
      <c r="E116" s="579" t="s">
        <v>98</v>
      </c>
      <c r="F116" s="542" t="s">
        <v>99</v>
      </c>
      <c r="G116" s="542" t="s">
        <v>77</v>
      </c>
      <c r="H116" s="481" t="s">
        <v>28</v>
      </c>
      <c r="I116" s="492">
        <f>576164*4</f>
        <v>2304656</v>
      </c>
      <c r="J116" s="492">
        <f>576164*4</f>
        <v>2304656</v>
      </c>
      <c r="K116" s="524">
        <v>42459</v>
      </c>
      <c r="L116" s="490">
        <v>42461</v>
      </c>
      <c r="M116" s="490">
        <v>42465</v>
      </c>
      <c r="N116" s="580">
        <v>120</v>
      </c>
      <c r="O116" s="490">
        <v>42586</v>
      </c>
      <c r="P116" s="542" t="s">
        <v>204</v>
      </c>
      <c r="Q116" s="481" t="s">
        <v>572</v>
      </c>
      <c r="R116" s="481" t="s">
        <v>281</v>
      </c>
      <c r="S116" s="547" t="s">
        <v>303</v>
      </c>
      <c r="T116" s="527" t="s">
        <v>688</v>
      </c>
      <c r="U116" s="547" t="s">
        <v>546</v>
      </c>
      <c r="V116" s="522"/>
      <c r="W116" s="522"/>
      <c r="X116" s="522"/>
      <c r="AA116" s="582"/>
    </row>
    <row r="117" spans="1:27" s="18" customFormat="1" ht="76.5" customHeight="1" x14ac:dyDescent="0.2">
      <c r="A117" s="21">
        <f t="shared" si="6"/>
        <v>111</v>
      </c>
      <c r="B117" s="13" t="s">
        <v>203</v>
      </c>
      <c r="C117" s="184">
        <v>33</v>
      </c>
      <c r="D117" s="182" t="s">
        <v>262</v>
      </c>
      <c r="E117" s="203" t="s">
        <v>98</v>
      </c>
      <c r="F117" s="160" t="s">
        <v>99</v>
      </c>
      <c r="G117" s="160" t="s">
        <v>77</v>
      </c>
      <c r="H117" s="10" t="s">
        <v>28</v>
      </c>
      <c r="I117" s="492">
        <v>7000000</v>
      </c>
      <c r="J117" s="350"/>
      <c r="K117" s="428">
        <v>42585</v>
      </c>
      <c r="L117" s="429">
        <f>K117+5</f>
        <v>42590</v>
      </c>
      <c r="M117" s="429">
        <f t="shared" si="7"/>
        <v>42597</v>
      </c>
      <c r="N117" s="183">
        <v>330</v>
      </c>
      <c r="O117" s="429">
        <f t="shared" si="8"/>
        <v>42927</v>
      </c>
      <c r="P117" s="160" t="s">
        <v>204</v>
      </c>
      <c r="Q117" s="10" t="s">
        <v>318</v>
      </c>
      <c r="R117" s="10" t="s">
        <v>281</v>
      </c>
      <c r="S117" s="179" t="s">
        <v>303</v>
      </c>
      <c r="T117" s="128"/>
      <c r="U117" s="474"/>
      <c r="V117" s="128"/>
      <c r="W117" s="128"/>
      <c r="X117" s="128"/>
    </row>
    <row r="118" spans="1:27" s="18" customFormat="1" ht="128.25" customHeight="1" x14ac:dyDescent="0.2">
      <c r="A118" s="21">
        <f t="shared" si="6"/>
        <v>112</v>
      </c>
      <c r="B118" s="13" t="s">
        <v>203</v>
      </c>
      <c r="C118" s="204">
        <v>33</v>
      </c>
      <c r="D118" s="202" t="s">
        <v>262</v>
      </c>
      <c r="E118" s="17" t="s">
        <v>98</v>
      </c>
      <c r="F118" s="9" t="s">
        <v>99</v>
      </c>
      <c r="G118" s="9" t="s">
        <v>199</v>
      </c>
      <c r="H118" s="9" t="s">
        <v>205</v>
      </c>
      <c r="I118" s="491">
        <v>3000000</v>
      </c>
      <c r="J118" s="20">
        <v>3000000</v>
      </c>
      <c r="K118" s="428">
        <v>42052</v>
      </c>
      <c r="L118" s="429">
        <f t="shared" ref="L118:L120" si="9">+K118+63</f>
        <v>42115</v>
      </c>
      <c r="M118" s="429">
        <f t="shared" si="7"/>
        <v>42122</v>
      </c>
      <c r="N118" s="183">
        <v>15</v>
      </c>
      <c r="O118" s="429">
        <f t="shared" si="8"/>
        <v>42137</v>
      </c>
      <c r="P118" s="9" t="s">
        <v>207</v>
      </c>
      <c r="Q118" s="167" t="s">
        <v>651</v>
      </c>
      <c r="R118" s="10" t="s">
        <v>208</v>
      </c>
      <c r="S118" s="179" t="s">
        <v>303</v>
      </c>
      <c r="T118" s="9" t="s">
        <v>679</v>
      </c>
      <c r="U118" s="179" t="s">
        <v>310</v>
      </c>
      <c r="V118" s="128"/>
      <c r="W118" s="128"/>
      <c r="X118" s="128"/>
      <c r="AA118" s="468"/>
    </row>
    <row r="119" spans="1:27" s="18" customFormat="1" ht="136.5" customHeight="1" x14ac:dyDescent="0.2">
      <c r="A119" s="21">
        <f t="shared" si="6"/>
        <v>113</v>
      </c>
      <c r="B119" s="13" t="s">
        <v>203</v>
      </c>
      <c r="C119" s="168">
        <v>33</v>
      </c>
      <c r="D119" s="202" t="s">
        <v>262</v>
      </c>
      <c r="E119" s="199" t="s">
        <v>98</v>
      </c>
      <c r="F119" s="9" t="s">
        <v>99</v>
      </c>
      <c r="G119" s="9" t="s">
        <v>199</v>
      </c>
      <c r="H119" s="9" t="s">
        <v>205</v>
      </c>
      <c r="I119" s="493">
        <v>4200000</v>
      </c>
      <c r="J119" s="128"/>
      <c r="K119" s="429">
        <v>42592</v>
      </c>
      <c r="L119" s="429">
        <f t="shared" si="9"/>
        <v>42655</v>
      </c>
      <c r="M119" s="429">
        <f t="shared" si="7"/>
        <v>42662</v>
      </c>
      <c r="N119" s="200">
        <v>60</v>
      </c>
      <c r="O119" s="429">
        <f t="shared" si="8"/>
        <v>42722</v>
      </c>
      <c r="P119" s="9" t="s">
        <v>206</v>
      </c>
      <c r="Q119" s="167" t="s">
        <v>319</v>
      </c>
      <c r="R119" s="19" t="s">
        <v>209</v>
      </c>
      <c r="S119" s="179" t="s">
        <v>303</v>
      </c>
      <c r="T119" s="128"/>
      <c r="U119" s="474"/>
      <c r="V119" s="128"/>
      <c r="W119" s="128"/>
      <c r="X119" s="128"/>
    </row>
    <row r="120" spans="1:27" s="18" customFormat="1" ht="95.25" customHeight="1" x14ac:dyDescent="0.2">
      <c r="A120" s="21">
        <f t="shared" si="6"/>
        <v>114</v>
      </c>
      <c r="B120" s="13" t="s">
        <v>203</v>
      </c>
      <c r="C120" s="28">
        <v>33</v>
      </c>
      <c r="D120" s="202" t="s">
        <v>262</v>
      </c>
      <c r="E120" s="199" t="s">
        <v>98</v>
      </c>
      <c r="F120" s="9" t="s">
        <v>99</v>
      </c>
      <c r="G120" s="9" t="s">
        <v>199</v>
      </c>
      <c r="H120" s="9" t="s">
        <v>205</v>
      </c>
      <c r="I120" s="491">
        <v>3000000</v>
      </c>
      <c r="J120" s="128"/>
      <c r="K120" s="428">
        <v>42653</v>
      </c>
      <c r="L120" s="429">
        <f t="shared" si="9"/>
        <v>42716</v>
      </c>
      <c r="M120" s="429">
        <f t="shared" si="7"/>
        <v>42723</v>
      </c>
      <c r="N120" s="183">
        <v>30</v>
      </c>
      <c r="O120" s="429">
        <f t="shared" si="8"/>
        <v>42753</v>
      </c>
      <c r="P120" s="9" t="s">
        <v>206</v>
      </c>
      <c r="Q120" s="19" t="s">
        <v>320</v>
      </c>
      <c r="R120" s="10" t="s">
        <v>210</v>
      </c>
      <c r="S120" s="179" t="s">
        <v>303</v>
      </c>
      <c r="T120" s="128"/>
      <c r="U120" s="474"/>
      <c r="V120" s="128"/>
      <c r="W120" s="128"/>
      <c r="X120" s="128"/>
    </row>
    <row r="121" spans="1:27" s="587" customFormat="1" ht="198" customHeight="1" x14ac:dyDescent="0.2">
      <c r="A121" s="21">
        <f t="shared" si="6"/>
        <v>115</v>
      </c>
      <c r="B121" s="576" t="s">
        <v>203</v>
      </c>
      <c r="C121" s="577">
        <v>33</v>
      </c>
      <c r="D121" s="481" t="s">
        <v>24</v>
      </c>
      <c r="E121" s="542" t="s">
        <v>98</v>
      </c>
      <c r="F121" s="481" t="s">
        <v>212</v>
      </c>
      <c r="G121" s="542" t="s">
        <v>81</v>
      </c>
      <c r="H121" s="481" t="s">
        <v>28</v>
      </c>
      <c r="I121" s="518">
        <v>4000000</v>
      </c>
      <c r="J121" s="518">
        <v>4000000</v>
      </c>
      <c r="K121" s="526">
        <v>42065</v>
      </c>
      <c r="L121" s="583">
        <v>42431</v>
      </c>
      <c r="M121" s="584">
        <v>42432</v>
      </c>
      <c r="N121" s="533">
        <v>30</v>
      </c>
      <c r="O121" s="584">
        <v>42462</v>
      </c>
      <c r="P121" s="585" t="s">
        <v>529</v>
      </c>
      <c r="Q121" s="521" t="s">
        <v>535</v>
      </c>
      <c r="R121" s="547" t="s">
        <v>533</v>
      </c>
      <c r="S121" s="547" t="s">
        <v>303</v>
      </c>
      <c r="T121" s="527" t="s">
        <v>547</v>
      </c>
      <c r="U121" s="547" t="s">
        <v>546</v>
      </c>
      <c r="V121" s="586"/>
      <c r="W121" s="586"/>
      <c r="X121" s="586"/>
      <c r="AA121" s="582"/>
    </row>
    <row r="122" spans="1:27" s="188" customFormat="1" ht="303" customHeight="1" x14ac:dyDescent="0.2">
      <c r="A122" s="21">
        <f t="shared" si="6"/>
        <v>116</v>
      </c>
      <c r="B122" s="13" t="s">
        <v>145</v>
      </c>
      <c r="C122" s="184">
        <v>33</v>
      </c>
      <c r="D122" s="10" t="s">
        <v>24</v>
      </c>
      <c r="E122" s="160" t="s">
        <v>98</v>
      </c>
      <c r="F122" s="10" t="s">
        <v>212</v>
      </c>
      <c r="G122" s="160" t="s">
        <v>81</v>
      </c>
      <c r="H122" s="10" t="s">
        <v>28</v>
      </c>
      <c r="I122" s="169">
        <v>42000000</v>
      </c>
      <c r="J122" s="169">
        <v>42000000</v>
      </c>
      <c r="K122" s="420">
        <v>42408</v>
      </c>
      <c r="L122" s="425">
        <v>42418</v>
      </c>
      <c r="M122" s="425">
        <v>42422</v>
      </c>
      <c r="N122" s="199">
        <v>210</v>
      </c>
      <c r="O122" s="425">
        <v>42634</v>
      </c>
      <c r="P122" s="182" t="s">
        <v>510</v>
      </c>
      <c r="Q122" s="186" t="s">
        <v>512</v>
      </c>
      <c r="R122" s="11" t="s">
        <v>511</v>
      </c>
      <c r="S122" s="220" t="s">
        <v>272</v>
      </c>
      <c r="T122" s="9" t="s">
        <v>531</v>
      </c>
      <c r="U122" s="179" t="s">
        <v>310</v>
      </c>
      <c r="V122" s="187"/>
      <c r="W122" s="179" t="s">
        <v>506</v>
      </c>
      <c r="X122" s="187"/>
      <c r="AA122" s="468"/>
    </row>
    <row r="123" spans="1:27" s="188" customFormat="1" ht="137.25" customHeight="1" x14ac:dyDescent="0.2">
      <c r="A123" s="21">
        <f t="shared" si="6"/>
        <v>117</v>
      </c>
      <c r="B123" s="13" t="s">
        <v>145</v>
      </c>
      <c r="C123" s="184">
        <v>33</v>
      </c>
      <c r="D123" s="10" t="s">
        <v>24</v>
      </c>
      <c r="E123" s="160" t="s">
        <v>98</v>
      </c>
      <c r="F123" s="10" t="s">
        <v>212</v>
      </c>
      <c r="G123" s="160" t="s">
        <v>81</v>
      </c>
      <c r="H123" s="10" t="s">
        <v>28</v>
      </c>
      <c r="I123" s="169">
        <v>22400000</v>
      </c>
      <c r="J123" s="169">
        <v>22400000</v>
      </c>
      <c r="K123" s="420">
        <v>42408</v>
      </c>
      <c r="L123" s="420">
        <v>42465</v>
      </c>
      <c r="M123" s="421">
        <v>42475</v>
      </c>
      <c r="N123" s="176">
        <v>210</v>
      </c>
      <c r="O123" s="421">
        <v>42688</v>
      </c>
      <c r="P123" s="182" t="s">
        <v>503</v>
      </c>
      <c r="Q123" s="186" t="s">
        <v>530</v>
      </c>
      <c r="R123" s="11" t="s">
        <v>245</v>
      </c>
      <c r="S123" s="220" t="s">
        <v>272</v>
      </c>
      <c r="T123" s="9" t="s">
        <v>677</v>
      </c>
      <c r="U123" s="179" t="s">
        <v>310</v>
      </c>
      <c r="V123" s="187"/>
      <c r="W123" s="187"/>
      <c r="X123" s="187"/>
      <c r="AA123" s="468"/>
    </row>
    <row r="124" spans="1:27" s="188" customFormat="1" ht="185.25" customHeight="1" x14ac:dyDescent="0.2">
      <c r="A124" s="21">
        <f t="shared" si="6"/>
        <v>118</v>
      </c>
      <c r="B124" s="13" t="s">
        <v>145</v>
      </c>
      <c r="C124" s="184">
        <v>33</v>
      </c>
      <c r="D124" s="10" t="s">
        <v>24</v>
      </c>
      <c r="E124" s="160" t="s">
        <v>98</v>
      </c>
      <c r="F124" s="10" t="s">
        <v>212</v>
      </c>
      <c r="G124" s="160" t="s">
        <v>81</v>
      </c>
      <c r="H124" s="10" t="s">
        <v>28</v>
      </c>
      <c r="I124" s="169">
        <v>12600000</v>
      </c>
      <c r="J124" s="169">
        <v>12600000</v>
      </c>
      <c r="K124" s="420">
        <v>42408</v>
      </c>
      <c r="L124" s="425">
        <v>42417</v>
      </c>
      <c r="M124" s="425">
        <v>42418</v>
      </c>
      <c r="N124" s="199">
        <v>210</v>
      </c>
      <c r="O124" s="425">
        <v>42630</v>
      </c>
      <c r="P124" s="182" t="s">
        <v>503</v>
      </c>
      <c r="Q124" s="9" t="s">
        <v>504</v>
      </c>
      <c r="R124" s="11" t="s">
        <v>501</v>
      </c>
      <c r="S124" s="220" t="s">
        <v>272</v>
      </c>
      <c r="T124" s="9" t="s">
        <v>505</v>
      </c>
      <c r="U124" s="179" t="s">
        <v>310</v>
      </c>
      <c r="V124" s="187"/>
      <c r="W124" s="179" t="s">
        <v>506</v>
      </c>
      <c r="X124" s="187"/>
      <c r="AA124" s="468"/>
    </row>
    <row r="125" spans="1:27" s="188" customFormat="1" ht="182.25" customHeight="1" x14ac:dyDescent="0.2">
      <c r="A125" s="21">
        <f t="shared" si="6"/>
        <v>119</v>
      </c>
      <c r="B125" s="13" t="s">
        <v>145</v>
      </c>
      <c r="C125" s="184">
        <v>33</v>
      </c>
      <c r="D125" s="10" t="s">
        <v>24</v>
      </c>
      <c r="E125" s="160" t="s">
        <v>98</v>
      </c>
      <c r="F125" s="10" t="s">
        <v>212</v>
      </c>
      <c r="G125" s="160" t="s">
        <v>81</v>
      </c>
      <c r="H125" s="10" t="s">
        <v>28</v>
      </c>
      <c r="I125" s="169">
        <v>12600000</v>
      </c>
      <c r="J125" s="169">
        <v>12600000</v>
      </c>
      <c r="K125" s="420">
        <v>42408</v>
      </c>
      <c r="L125" s="425">
        <v>42418</v>
      </c>
      <c r="M125" s="425">
        <v>42422</v>
      </c>
      <c r="N125" s="21">
        <v>210</v>
      </c>
      <c r="O125" s="425">
        <v>42634</v>
      </c>
      <c r="P125" s="182" t="s">
        <v>503</v>
      </c>
      <c r="Q125" s="9" t="s">
        <v>514</v>
      </c>
      <c r="R125" s="11" t="s">
        <v>501</v>
      </c>
      <c r="S125" s="220" t="s">
        <v>272</v>
      </c>
      <c r="T125" s="9" t="s">
        <v>513</v>
      </c>
      <c r="U125" s="179" t="s">
        <v>310</v>
      </c>
      <c r="V125" s="187"/>
      <c r="W125" s="179" t="s">
        <v>309</v>
      </c>
      <c r="X125" s="187"/>
      <c r="AA125" s="468"/>
    </row>
    <row r="126" spans="1:27" s="188" customFormat="1" ht="177.75" customHeight="1" x14ac:dyDescent="0.2">
      <c r="A126" s="21">
        <f t="shared" si="6"/>
        <v>120</v>
      </c>
      <c r="B126" s="13" t="s">
        <v>145</v>
      </c>
      <c r="C126" s="184">
        <v>33</v>
      </c>
      <c r="D126" s="10" t="s">
        <v>24</v>
      </c>
      <c r="E126" s="160" t="s">
        <v>98</v>
      </c>
      <c r="F126" s="10" t="s">
        <v>212</v>
      </c>
      <c r="G126" s="160" t="s">
        <v>81</v>
      </c>
      <c r="H126" s="10" t="s">
        <v>28</v>
      </c>
      <c r="I126" s="169">
        <v>12600000</v>
      </c>
      <c r="J126" s="169">
        <v>12600000</v>
      </c>
      <c r="K126" s="420">
        <v>42408</v>
      </c>
      <c r="L126" s="425">
        <v>42426</v>
      </c>
      <c r="M126" s="425">
        <v>42432</v>
      </c>
      <c r="N126" s="21">
        <v>210</v>
      </c>
      <c r="O126" s="425">
        <v>42645</v>
      </c>
      <c r="P126" s="157" t="s">
        <v>503</v>
      </c>
      <c r="Q126" s="9" t="s">
        <v>514</v>
      </c>
      <c r="R126" s="11" t="s">
        <v>501</v>
      </c>
      <c r="S126" s="220" t="s">
        <v>272</v>
      </c>
      <c r="T126" s="9" t="s">
        <v>526</v>
      </c>
      <c r="U126" s="179" t="s">
        <v>310</v>
      </c>
      <c r="V126" s="187"/>
      <c r="W126" s="179" t="s">
        <v>309</v>
      </c>
      <c r="X126" s="187"/>
      <c r="AA126" s="468"/>
    </row>
    <row r="127" spans="1:27" s="188" customFormat="1" ht="177.75" customHeight="1" x14ac:dyDescent="0.2">
      <c r="A127" s="21">
        <f t="shared" si="6"/>
        <v>121</v>
      </c>
      <c r="B127" s="13" t="s">
        <v>145</v>
      </c>
      <c r="C127" s="184">
        <v>33</v>
      </c>
      <c r="D127" s="10" t="s">
        <v>24</v>
      </c>
      <c r="E127" s="160" t="s">
        <v>98</v>
      </c>
      <c r="F127" s="10" t="s">
        <v>212</v>
      </c>
      <c r="G127" s="160" t="s">
        <v>81</v>
      </c>
      <c r="H127" s="10" t="s">
        <v>28</v>
      </c>
      <c r="I127" s="169">
        <v>12600000</v>
      </c>
      <c r="J127" s="169">
        <v>12600000</v>
      </c>
      <c r="K127" s="420">
        <v>42408</v>
      </c>
      <c r="L127" s="425">
        <v>42429</v>
      </c>
      <c r="M127" s="425">
        <v>42432</v>
      </c>
      <c r="N127" s="21">
        <v>210</v>
      </c>
      <c r="O127" s="425">
        <v>42645</v>
      </c>
      <c r="P127" s="182" t="s">
        <v>503</v>
      </c>
      <c r="Q127" s="9" t="s">
        <v>514</v>
      </c>
      <c r="R127" s="11" t="s">
        <v>501</v>
      </c>
      <c r="S127" s="220" t="s">
        <v>272</v>
      </c>
      <c r="T127" s="9" t="s">
        <v>527</v>
      </c>
      <c r="U127" s="179" t="s">
        <v>310</v>
      </c>
      <c r="V127" s="187"/>
      <c r="W127" s="179" t="s">
        <v>309</v>
      </c>
      <c r="X127" s="187"/>
      <c r="AA127" s="468"/>
    </row>
    <row r="128" spans="1:27" s="188" customFormat="1" ht="179.25" customHeight="1" x14ac:dyDescent="0.2">
      <c r="A128" s="21">
        <f t="shared" si="6"/>
        <v>122</v>
      </c>
      <c r="B128" s="13" t="s">
        <v>145</v>
      </c>
      <c r="C128" s="184">
        <v>33</v>
      </c>
      <c r="D128" s="10" t="s">
        <v>24</v>
      </c>
      <c r="E128" s="160" t="s">
        <v>98</v>
      </c>
      <c r="F128" s="10" t="s">
        <v>212</v>
      </c>
      <c r="G128" s="160" t="s">
        <v>81</v>
      </c>
      <c r="H128" s="10" t="s">
        <v>28</v>
      </c>
      <c r="I128" s="169">
        <v>12600000</v>
      </c>
      <c r="J128" s="169">
        <v>12600000</v>
      </c>
      <c r="K128" s="420">
        <v>42408</v>
      </c>
      <c r="L128" s="425">
        <v>42461</v>
      </c>
      <c r="M128" s="425">
        <v>42465</v>
      </c>
      <c r="N128" s="21">
        <v>210</v>
      </c>
      <c r="O128" s="425">
        <v>42678</v>
      </c>
      <c r="P128" s="182" t="s">
        <v>503</v>
      </c>
      <c r="Q128" s="9" t="s">
        <v>514</v>
      </c>
      <c r="R128" s="11" t="s">
        <v>501</v>
      </c>
      <c r="S128" s="220" t="s">
        <v>272</v>
      </c>
      <c r="T128" s="9" t="s">
        <v>623</v>
      </c>
      <c r="U128" s="179" t="s">
        <v>310</v>
      </c>
      <c r="V128" s="187"/>
      <c r="W128" s="179"/>
      <c r="X128" s="187"/>
      <c r="AA128" s="468"/>
    </row>
    <row r="129" spans="1:27" s="188" customFormat="1" ht="165.75" customHeight="1" x14ac:dyDescent="0.2">
      <c r="A129" s="21">
        <f t="shared" si="6"/>
        <v>123</v>
      </c>
      <c r="B129" s="13" t="s">
        <v>145</v>
      </c>
      <c r="C129" s="184">
        <v>33</v>
      </c>
      <c r="D129" s="10" t="s">
        <v>24</v>
      </c>
      <c r="E129" s="160" t="s">
        <v>98</v>
      </c>
      <c r="F129" s="10" t="s">
        <v>212</v>
      </c>
      <c r="G129" s="160" t="s">
        <v>81</v>
      </c>
      <c r="H129" s="10" t="s">
        <v>28</v>
      </c>
      <c r="I129" s="169">
        <v>10500000</v>
      </c>
      <c r="J129" s="169">
        <v>10500000</v>
      </c>
      <c r="K129" s="420">
        <v>42408</v>
      </c>
      <c r="L129" s="425">
        <v>42439</v>
      </c>
      <c r="M129" s="425">
        <v>42444</v>
      </c>
      <c r="N129" s="17">
        <v>210</v>
      </c>
      <c r="O129" s="425">
        <v>42657</v>
      </c>
      <c r="P129" s="182" t="s">
        <v>503</v>
      </c>
      <c r="Q129" s="9" t="s">
        <v>504</v>
      </c>
      <c r="R129" s="11" t="s">
        <v>501</v>
      </c>
      <c r="S129" s="220" t="s">
        <v>272</v>
      </c>
      <c r="T129" s="9" t="s">
        <v>568</v>
      </c>
      <c r="U129" s="179" t="s">
        <v>310</v>
      </c>
      <c r="V129" s="187"/>
      <c r="W129" s="179"/>
      <c r="X129" s="187"/>
      <c r="AA129" s="468"/>
    </row>
    <row r="130" spans="1:27" s="188" customFormat="1" ht="180.75" customHeight="1" x14ac:dyDescent="0.2">
      <c r="A130" s="21">
        <f t="shared" si="6"/>
        <v>124</v>
      </c>
      <c r="B130" s="13" t="s">
        <v>145</v>
      </c>
      <c r="C130" s="184">
        <v>33</v>
      </c>
      <c r="D130" s="10" t="s">
        <v>24</v>
      </c>
      <c r="E130" s="160" t="s">
        <v>98</v>
      </c>
      <c r="F130" s="10" t="s">
        <v>212</v>
      </c>
      <c r="G130" s="160" t="s">
        <v>81</v>
      </c>
      <c r="H130" s="10" t="s">
        <v>28</v>
      </c>
      <c r="I130" s="169">
        <v>10500000</v>
      </c>
      <c r="J130" s="169">
        <v>10500000</v>
      </c>
      <c r="K130" s="420">
        <v>42408</v>
      </c>
      <c r="L130" s="425">
        <v>42417</v>
      </c>
      <c r="M130" s="425">
        <v>42419</v>
      </c>
      <c r="N130" s="199">
        <v>210</v>
      </c>
      <c r="O130" s="425">
        <v>42631</v>
      </c>
      <c r="P130" s="182" t="s">
        <v>503</v>
      </c>
      <c r="Q130" s="9" t="s">
        <v>504</v>
      </c>
      <c r="R130" s="11" t="s">
        <v>501</v>
      </c>
      <c r="S130" s="220" t="s">
        <v>272</v>
      </c>
      <c r="T130" s="9" t="s">
        <v>502</v>
      </c>
      <c r="U130" s="179" t="s">
        <v>310</v>
      </c>
      <c r="V130" s="187"/>
      <c r="W130" s="179" t="s">
        <v>309</v>
      </c>
      <c r="X130" s="187"/>
      <c r="AA130" s="468"/>
    </row>
    <row r="131" spans="1:27" s="188" customFormat="1" ht="99.75" customHeight="1" x14ac:dyDescent="0.2">
      <c r="A131" s="21">
        <f t="shared" si="6"/>
        <v>125</v>
      </c>
      <c r="B131" s="14" t="s">
        <v>145</v>
      </c>
      <c r="C131" s="184">
        <v>312</v>
      </c>
      <c r="D131" s="10" t="s">
        <v>228</v>
      </c>
      <c r="E131" s="160">
        <v>312020501</v>
      </c>
      <c r="F131" s="10" t="s">
        <v>84</v>
      </c>
      <c r="G131" s="160" t="s">
        <v>77</v>
      </c>
      <c r="H131" s="10" t="s">
        <v>63</v>
      </c>
      <c r="I131" s="169">
        <v>5000000</v>
      </c>
      <c r="J131" s="169"/>
      <c r="K131" s="420">
        <v>42461</v>
      </c>
      <c r="L131" s="425">
        <v>42503</v>
      </c>
      <c r="M131" s="425">
        <f>L131+5</f>
        <v>42508</v>
      </c>
      <c r="N131" s="199">
        <v>30</v>
      </c>
      <c r="O131" s="425">
        <f>M131+N131</f>
        <v>42538</v>
      </c>
      <c r="P131" s="7" t="s">
        <v>64</v>
      </c>
      <c r="Q131" s="359" t="s">
        <v>612</v>
      </c>
      <c r="R131" s="359" t="s">
        <v>581</v>
      </c>
      <c r="S131" s="220" t="s">
        <v>272</v>
      </c>
      <c r="T131" s="9" t="s">
        <v>605</v>
      </c>
      <c r="U131" s="179" t="s">
        <v>302</v>
      </c>
      <c r="V131" s="187"/>
      <c r="W131" s="179"/>
      <c r="X131" s="187"/>
    </row>
    <row r="132" spans="1:27" s="188" customFormat="1" ht="81" customHeight="1" x14ac:dyDescent="0.2">
      <c r="A132" s="21">
        <f t="shared" si="6"/>
        <v>126</v>
      </c>
      <c r="B132" s="13" t="s">
        <v>145</v>
      </c>
      <c r="C132" s="184">
        <v>33</v>
      </c>
      <c r="D132" s="10" t="s">
        <v>24</v>
      </c>
      <c r="E132" s="160" t="s">
        <v>98</v>
      </c>
      <c r="F132" s="10" t="s">
        <v>212</v>
      </c>
      <c r="G132" s="160" t="s">
        <v>27</v>
      </c>
      <c r="H132" s="160" t="s">
        <v>19</v>
      </c>
      <c r="I132" s="169">
        <f>100000000-22681700+2100000-36000000</f>
        <v>43418300</v>
      </c>
      <c r="J132" s="169"/>
      <c r="K132" s="420">
        <v>42509</v>
      </c>
      <c r="L132" s="420">
        <f>K132+60</f>
        <v>42569</v>
      </c>
      <c r="M132" s="421">
        <f>L132+5</f>
        <v>42574</v>
      </c>
      <c r="N132" s="176">
        <v>120</v>
      </c>
      <c r="O132" s="421">
        <f>M132+N132</f>
        <v>42694</v>
      </c>
      <c r="P132" s="185" t="s">
        <v>259</v>
      </c>
      <c r="Q132" s="9" t="s">
        <v>260</v>
      </c>
      <c r="R132" s="186" t="s">
        <v>582</v>
      </c>
      <c r="S132" s="220" t="s">
        <v>272</v>
      </c>
      <c r="T132" s="187"/>
      <c r="U132" s="475"/>
      <c r="V132" s="187"/>
      <c r="W132" s="187"/>
      <c r="X132" s="187"/>
    </row>
    <row r="133" spans="1:27" s="188" customFormat="1" ht="288.75" customHeight="1" x14ac:dyDescent="0.2">
      <c r="A133" s="21">
        <f t="shared" si="6"/>
        <v>127</v>
      </c>
      <c r="B133" s="13" t="s">
        <v>145</v>
      </c>
      <c r="C133" s="184">
        <v>33</v>
      </c>
      <c r="D133" s="10" t="s">
        <v>24</v>
      </c>
      <c r="E133" s="160" t="s">
        <v>98</v>
      </c>
      <c r="F133" s="10" t="s">
        <v>212</v>
      </c>
      <c r="G133" s="160" t="s">
        <v>613</v>
      </c>
      <c r="H133" s="160" t="s">
        <v>613</v>
      </c>
      <c r="I133" s="169">
        <v>36000000</v>
      </c>
      <c r="J133" s="169">
        <v>36000000</v>
      </c>
      <c r="K133" s="420">
        <v>42471</v>
      </c>
      <c r="L133" s="420">
        <v>42489</v>
      </c>
      <c r="M133" s="420">
        <v>42495</v>
      </c>
      <c r="N133" s="173">
        <v>180</v>
      </c>
      <c r="O133" s="420">
        <v>42678</v>
      </c>
      <c r="P133" s="182" t="s">
        <v>686</v>
      </c>
      <c r="Q133" s="9" t="s">
        <v>650</v>
      </c>
      <c r="R133" s="9" t="s">
        <v>647</v>
      </c>
      <c r="S133" s="220" t="s">
        <v>272</v>
      </c>
      <c r="T133" s="9" t="s">
        <v>687</v>
      </c>
      <c r="U133" s="9" t="s">
        <v>310</v>
      </c>
      <c r="V133" s="187"/>
      <c r="W133" s="187"/>
      <c r="X133" s="187"/>
      <c r="AA133" s="468"/>
    </row>
    <row r="134" spans="1:27" s="188" customFormat="1" ht="60.75" customHeight="1" x14ac:dyDescent="0.2">
      <c r="A134" s="21">
        <f t="shared" si="6"/>
        <v>128</v>
      </c>
      <c r="B134" s="13" t="s">
        <v>145</v>
      </c>
      <c r="C134" s="184">
        <v>33</v>
      </c>
      <c r="D134" s="10" t="s">
        <v>24</v>
      </c>
      <c r="E134" s="160" t="s">
        <v>98</v>
      </c>
      <c r="F134" s="10" t="s">
        <v>212</v>
      </c>
      <c r="G134" s="160" t="s">
        <v>81</v>
      </c>
      <c r="H134" s="10" t="s">
        <v>28</v>
      </c>
      <c r="I134" s="169">
        <v>72181700</v>
      </c>
      <c r="J134" s="169"/>
      <c r="K134" s="420">
        <v>42540</v>
      </c>
      <c r="L134" s="420">
        <v>42571</v>
      </c>
      <c r="M134" s="421">
        <v>42576</v>
      </c>
      <c r="N134" s="176">
        <v>60</v>
      </c>
      <c r="O134" s="421">
        <f>+M134+N134</f>
        <v>42636</v>
      </c>
      <c r="P134" s="378" t="s">
        <v>261</v>
      </c>
      <c r="Q134" s="9" t="s">
        <v>583</v>
      </c>
      <c r="R134" s="186" t="s">
        <v>584</v>
      </c>
      <c r="S134" s="220" t="s">
        <v>272</v>
      </c>
      <c r="T134" s="187"/>
      <c r="U134" s="475"/>
      <c r="V134" s="187"/>
      <c r="W134" s="187"/>
      <c r="X134" s="187"/>
    </row>
    <row r="135" spans="1:27" s="188" customFormat="1" ht="80.25" customHeight="1" x14ac:dyDescent="0.2">
      <c r="A135" s="21">
        <f t="shared" si="6"/>
        <v>129</v>
      </c>
      <c r="B135" s="13" t="s">
        <v>728</v>
      </c>
      <c r="C135" s="184">
        <v>33</v>
      </c>
      <c r="D135" s="10" t="s">
        <v>24</v>
      </c>
      <c r="E135" s="160" t="s">
        <v>98</v>
      </c>
      <c r="F135" s="10" t="s">
        <v>212</v>
      </c>
      <c r="G135" s="160" t="s">
        <v>81</v>
      </c>
      <c r="H135" s="10" t="s">
        <v>28</v>
      </c>
      <c r="I135" s="169">
        <f>300000000-I136-I137</f>
        <v>204000000</v>
      </c>
      <c r="J135" s="169"/>
      <c r="K135" s="420">
        <v>42521</v>
      </c>
      <c r="L135" s="420">
        <v>42551</v>
      </c>
      <c r="M135" s="421">
        <v>42555</v>
      </c>
      <c r="N135" s="176">
        <v>180</v>
      </c>
      <c r="O135" s="421">
        <f t="shared" ref="O135" si="10">+M135+N135</f>
        <v>42735</v>
      </c>
      <c r="P135" s="378"/>
      <c r="Q135" s="9" t="s">
        <v>807</v>
      </c>
      <c r="R135" s="186" t="s">
        <v>806</v>
      </c>
      <c r="S135" s="10" t="s">
        <v>731</v>
      </c>
      <c r="T135" s="187"/>
      <c r="U135" s="475"/>
      <c r="V135" s="187"/>
      <c r="W135" s="187"/>
      <c r="X135" s="187"/>
    </row>
    <row r="136" spans="1:27" s="587" customFormat="1" ht="285.75" customHeight="1" x14ac:dyDescent="0.2">
      <c r="A136" s="21">
        <f t="shared" si="6"/>
        <v>130</v>
      </c>
      <c r="B136" s="576" t="s">
        <v>728</v>
      </c>
      <c r="C136" s="577">
        <v>33</v>
      </c>
      <c r="D136" s="481" t="s">
        <v>24</v>
      </c>
      <c r="E136" s="542" t="s">
        <v>98</v>
      </c>
      <c r="F136" s="481" t="s">
        <v>212</v>
      </c>
      <c r="G136" s="542" t="s">
        <v>81</v>
      </c>
      <c r="H136" s="481" t="s">
        <v>28</v>
      </c>
      <c r="I136" s="518">
        <v>48000000</v>
      </c>
      <c r="J136" s="518">
        <v>48000000</v>
      </c>
      <c r="K136" s="526">
        <v>42506</v>
      </c>
      <c r="L136" s="526">
        <v>42513</v>
      </c>
      <c r="M136" s="603">
        <v>42514</v>
      </c>
      <c r="N136" s="604">
        <v>180</v>
      </c>
      <c r="O136" s="603">
        <v>42697</v>
      </c>
      <c r="P136" s="481" t="s">
        <v>729</v>
      </c>
      <c r="Q136" s="527" t="s">
        <v>730</v>
      </c>
      <c r="R136" s="521" t="s">
        <v>805</v>
      </c>
      <c r="S136" s="481" t="s">
        <v>731</v>
      </c>
      <c r="T136" s="481" t="s">
        <v>819</v>
      </c>
      <c r="U136" s="547" t="s">
        <v>310</v>
      </c>
      <c r="V136" s="605" t="s">
        <v>627</v>
      </c>
      <c r="W136" s="586"/>
      <c r="X136" s="586"/>
    </row>
    <row r="137" spans="1:27" s="587" customFormat="1" ht="285.75" customHeight="1" x14ac:dyDescent="0.2">
      <c r="A137" s="21">
        <f t="shared" ref="A137:A140" si="11">+A136+1</f>
        <v>131</v>
      </c>
      <c r="B137" s="576" t="s">
        <v>728</v>
      </c>
      <c r="C137" s="577">
        <v>33</v>
      </c>
      <c r="D137" s="481" t="s">
        <v>24</v>
      </c>
      <c r="E137" s="542" t="s">
        <v>98</v>
      </c>
      <c r="F137" s="481" t="s">
        <v>212</v>
      </c>
      <c r="G137" s="542" t="s">
        <v>81</v>
      </c>
      <c r="H137" s="481" t="s">
        <v>28</v>
      </c>
      <c r="I137" s="518">
        <v>48000000</v>
      </c>
      <c r="J137" s="518">
        <v>48000000</v>
      </c>
      <c r="K137" s="526">
        <v>42506</v>
      </c>
      <c r="L137" s="526">
        <v>42513</v>
      </c>
      <c r="M137" s="603">
        <v>42514</v>
      </c>
      <c r="N137" s="604">
        <v>180</v>
      </c>
      <c r="O137" s="603">
        <v>42697</v>
      </c>
      <c r="P137" s="481" t="s">
        <v>729</v>
      </c>
      <c r="Q137" s="527" t="s">
        <v>730</v>
      </c>
      <c r="R137" s="521" t="s">
        <v>805</v>
      </c>
      <c r="S137" s="481" t="s">
        <v>731</v>
      </c>
      <c r="T137" s="481" t="s">
        <v>820</v>
      </c>
      <c r="U137" s="547" t="s">
        <v>310</v>
      </c>
      <c r="V137" s="605" t="s">
        <v>627</v>
      </c>
      <c r="W137" s="586"/>
      <c r="X137" s="586"/>
    </row>
    <row r="138" spans="1:27" s="18" customFormat="1" ht="266.25" customHeight="1" x14ac:dyDescent="0.2">
      <c r="A138" s="21">
        <f t="shared" si="11"/>
        <v>132</v>
      </c>
      <c r="B138" s="13" t="s">
        <v>490</v>
      </c>
      <c r="C138" s="172" t="s">
        <v>143</v>
      </c>
      <c r="D138" s="23" t="s">
        <v>105</v>
      </c>
      <c r="E138" s="153">
        <v>311020301</v>
      </c>
      <c r="F138" s="154" t="s">
        <v>305</v>
      </c>
      <c r="G138" s="9" t="s">
        <v>81</v>
      </c>
      <c r="H138" s="9" t="s">
        <v>28</v>
      </c>
      <c r="I138" s="26">
        <v>40000000</v>
      </c>
      <c r="J138" s="26">
        <v>40000000</v>
      </c>
      <c r="K138" s="428">
        <v>42387</v>
      </c>
      <c r="L138" s="430">
        <v>42401</v>
      </c>
      <c r="M138" s="421">
        <v>42402</v>
      </c>
      <c r="N138" s="21">
        <v>150</v>
      </c>
      <c r="O138" s="421">
        <v>42552</v>
      </c>
      <c r="P138" s="157" t="s">
        <v>306</v>
      </c>
      <c r="Q138" s="25" t="s">
        <v>304</v>
      </c>
      <c r="R138" s="11" t="s">
        <v>307</v>
      </c>
      <c r="S138" s="179" t="s">
        <v>308</v>
      </c>
      <c r="T138" s="9" t="s">
        <v>332</v>
      </c>
      <c r="U138" s="179" t="s">
        <v>310</v>
      </c>
      <c r="V138" s="180" t="s">
        <v>309</v>
      </c>
      <c r="W138" s="128"/>
      <c r="X138" s="128"/>
      <c r="AA138" s="468"/>
    </row>
    <row r="139" spans="1:27" s="18" customFormat="1" ht="105.75" customHeight="1" x14ac:dyDescent="0.2">
      <c r="A139" s="21">
        <f t="shared" si="11"/>
        <v>133</v>
      </c>
      <c r="B139" s="13" t="s">
        <v>333</v>
      </c>
      <c r="C139" s="172" t="s">
        <v>143</v>
      </c>
      <c r="D139" s="23" t="s">
        <v>105</v>
      </c>
      <c r="E139" s="153">
        <v>311020301</v>
      </c>
      <c r="F139" s="154" t="s">
        <v>305</v>
      </c>
      <c r="G139" s="9" t="s">
        <v>81</v>
      </c>
      <c r="H139" s="9" t="s">
        <v>28</v>
      </c>
      <c r="I139" s="181">
        <v>30000000</v>
      </c>
      <c r="J139" s="181">
        <v>30000000</v>
      </c>
      <c r="K139" s="429">
        <v>42397</v>
      </c>
      <c r="L139" s="425">
        <v>42402</v>
      </c>
      <c r="M139" s="425">
        <v>42405</v>
      </c>
      <c r="N139" s="159">
        <v>150</v>
      </c>
      <c r="O139" s="421">
        <v>42555</v>
      </c>
      <c r="P139" s="182" t="s">
        <v>312</v>
      </c>
      <c r="Q139" s="9" t="s">
        <v>313</v>
      </c>
      <c r="R139" s="11" t="s">
        <v>314</v>
      </c>
      <c r="S139" s="179" t="s">
        <v>311</v>
      </c>
      <c r="T139" s="9" t="s">
        <v>492</v>
      </c>
      <c r="U139" s="179" t="s">
        <v>310</v>
      </c>
      <c r="V139" s="180" t="s">
        <v>309</v>
      </c>
      <c r="W139" s="128"/>
      <c r="X139" s="128"/>
      <c r="AA139" s="468"/>
    </row>
    <row r="140" spans="1:27" s="18" customFormat="1" ht="104.25" customHeight="1" x14ac:dyDescent="0.2">
      <c r="A140" s="21">
        <f t="shared" si="11"/>
        <v>134</v>
      </c>
      <c r="B140" s="13" t="s">
        <v>315</v>
      </c>
      <c r="C140" s="172" t="s">
        <v>143</v>
      </c>
      <c r="D140" s="23" t="s">
        <v>105</v>
      </c>
      <c r="E140" s="153">
        <v>311020301</v>
      </c>
      <c r="F140" s="154" t="s">
        <v>305</v>
      </c>
      <c r="G140" s="9" t="s">
        <v>81</v>
      </c>
      <c r="H140" s="9" t="s">
        <v>28</v>
      </c>
      <c r="I140" s="20">
        <v>32000000</v>
      </c>
      <c r="J140" s="20">
        <v>32000000</v>
      </c>
      <c r="K140" s="428">
        <v>42398</v>
      </c>
      <c r="L140" s="429">
        <v>42417</v>
      </c>
      <c r="M140" s="425">
        <v>42418</v>
      </c>
      <c r="N140" s="21">
        <v>120</v>
      </c>
      <c r="O140" s="425">
        <v>42538</v>
      </c>
      <c r="P140" s="406" t="s">
        <v>500</v>
      </c>
      <c r="Q140" s="25" t="s">
        <v>498</v>
      </c>
      <c r="R140" s="19" t="s">
        <v>316</v>
      </c>
      <c r="S140" s="179" t="s">
        <v>336</v>
      </c>
      <c r="T140" s="9" t="s">
        <v>499</v>
      </c>
      <c r="U140" s="179" t="s">
        <v>310</v>
      </c>
      <c r="V140" s="128"/>
      <c r="W140" s="179" t="s">
        <v>462</v>
      </c>
      <c r="X140" s="128"/>
      <c r="AA140" s="468"/>
    </row>
    <row r="141" spans="1:27" s="18" customFormat="1" ht="42" customHeight="1" x14ac:dyDescent="0.2">
      <c r="A141" s="21"/>
      <c r="B141" s="13"/>
      <c r="C141" s="172"/>
      <c r="D141" s="23"/>
      <c r="E141" s="153"/>
      <c r="F141" s="154"/>
      <c r="G141" s="9"/>
      <c r="H141" s="469" t="s">
        <v>706</v>
      </c>
      <c r="I141" s="470">
        <f>SUM(I7:I140)</f>
        <v>12126930594</v>
      </c>
      <c r="J141" s="470">
        <f>SUM(J7:J140)</f>
        <v>1794743040</v>
      </c>
      <c r="K141" s="428"/>
      <c r="L141" s="429"/>
      <c r="M141" s="425"/>
      <c r="N141" s="21"/>
      <c r="O141" s="425"/>
      <c r="P141" s="406"/>
      <c r="Q141" s="25"/>
      <c r="R141" s="19"/>
      <c r="S141" s="179"/>
      <c r="T141" s="9"/>
      <c r="U141" s="179"/>
      <c r="V141" s="128"/>
      <c r="W141" s="179"/>
      <c r="X141" s="128"/>
    </row>
  </sheetData>
  <sheetProtection algorithmName="SHA-512" hashValue="q9yaEHm1285F2b4t3F7SU8l2dR7acuVZZNX89ZOOktxE8glxGNOBrsp9M5e4INpNTwbipbew9sKBaOCWB3+QPg==" saltValue="yRhtcrpRMsrk7WFrOkNXwg==" spinCount="100000" sheet="1" objects="1" scenarios="1" formatCells="0" formatColumns="0" formatRows="0" insertColumns="0" insertRows="0" insertHyperlinks="0" deleteColumns="0" deleteRows="0" sort="0" autoFilter="0" pivotTables="0"/>
  <autoFilter ref="A6:IF141"/>
  <mergeCells count="2">
    <mergeCell ref="C1:R4"/>
    <mergeCell ref="C5:R5"/>
  </mergeCells>
  <dataValidations disablePrompts="1" count="1">
    <dataValidation type="date" allowBlank="1" showInputMessage="1" showErrorMessage="1" sqref="M129:M131 M124:M125 M122 M65:M66 M83:M84">
      <formula1>1</formula1>
      <formula2>402133</formula2>
    </dataValidation>
  </dataValidations>
  <printOptions horizontalCentered="1" verticalCentered="1"/>
  <pageMargins left="0.70866141732283472" right="0" top="0.19685039370078741" bottom="0.19685039370078741" header="0" footer="0"/>
  <pageSetup paperSize="5" scale="35" orientation="landscape" horizontalDpi="4294967295" verticalDpi="4294967295" r:id="rId1"/>
  <headerFooter alignWithMargins="0">
    <oddHeader>&amp;C&amp;P&amp;N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O36"/>
  <sheetViews>
    <sheetView topLeftCell="A3" zoomScale="85" zoomScaleNormal="85" workbookViewId="0">
      <pane ySplit="3" topLeftCell="A6" activePane="bottomLeft" state="frozen"/>
      <selection activeCell="A3" sqref="A3"/>
      <selection pane="bottomLeft" activeCell="C19" sqref="C19"/>
    </sheetView>
  </sheetViews>
  <sheetFormatPr baseColWidth="10" defaultRowHeight="12" x14ac:dyDescent="0.2"/>
  <cols>
    <col min="1" max="1" width="7.5703125" style="306" bestFit="1" customWidth="1"/>
    <col min="2" max="2" width="10.28515625" style="306" customWidth="1"/>
    <col min="3" max="3" width="11.42578125" style="307" customWidth="1"/>
    <col min="4" max="4" width="46.28515625" style="308" customWidth="1"/>
    <col min="5" max="5" width="18.28515625" style="308" customWidth="1"/>
    <col min="6" max="6" width="22.28515625" style="306" customWidth="1"/>
    <col min="7" max="7" width="19.5703125" style="306" customWidth="1"/>
    <col min="8" max="8" width="16.7109375" style="309" customWidth="1"/>
    <col min="9" max="9" width="12.85546875" style="310" customWidth="1"/>
    <col min="10" max="10" width="14.42578125" style="312" customWidth="1"/>
    <col min="11" max="11" width="7.85546875" style="316" customWidth="1"/>
    <col min="12" max="12" width="22.140625" style="316" customWidth="1"/>
    <col min="13" max="13" width="25.5703125" style="312" customWidth="1"/>
    <col min="14" max="14" width="18.7109375" style="312" customWidth="1"/>
    <col min="15" max="15" width="15.5703125" style="312" customWidth="1"/>
    <col min="16" max="16" width="19" style="312" customWidth="1"/>
    <col min="17" max="17" width="19.7109375" style="312" customWidth="1"/>
    <col min="18" max="18" width="10.85546875" style="312" bestFit="1" customWidth="1"/>
    <col min="19" max="19" width="13.7109375" style="311" bestFit="1" customWidth="1"/>
    <col min="20" max="20" width="15.5703125" style="313" bestFit="1" customWidth="1"/>
    <col min="21" max="21" width="19.140625" style="317" bestFit="1" customWidth="1"/>
    <col min="22" max="22" width="12.85546875" style="317" bestFit="1" customWidth="1"/>
    <col min="23" max="23" width="15.5703125" style="318" bestFit="1" customWidth="1"/>
    <col min="24" max="24" width="16.140625" style="309" customWidth="1"/>
    <col min="25" max="25" width="18.28515625" style="317" customWidth="1"/>
    <col min="26" max="26" width="19.7109375" style="317" customWidth="1"/>
    <col min="27" max="27" width="22.42578125" style="317" bestFit="1" customWidth="1"/>
    <col min="28" max="28" width="23.140625" style="317" customWidth="1"/>
    <col min="29" max="29" width="22.5703125" style="317" bestFit="1" customWidth="1"/>
    <col min="30" max="30" width="15.140625" style="317" customWidth="1"/>
    <col min="31" max="31" width="17" style="319" customWidth="1"/>
    <col min="32" max="33" width="15.28515625" style="320" customWidth="1"/>
    <col min="34" max="34" width="17" style="314" customWidth="1"/>
    <col min="35" max="35" width="12.140625" style="321" customWidth="1"/>
    <col min="36" max="36" width="11.28515625" style="322" customWidth="1"/>
    <col min="37" max="37" width="12.7109375" style="323" customWidth="1"/>
    <col min="38" max="38" width="20.28515625" style="324" customWidth="1"/>
    <col min="39" max="39" width="22.42578125" style="324" customWidth="1"/>
    <col min="40" max="40" width="16.5703125" style="306" customWidth="1"/>
    <col min="41" max="41" width="13.85546875" style="325" customWidth="1"/>
    <col min="42" max="42" width="11.7109375" style="326" customWidth="1"/>
    <col min="43" max="43" width="11.7109375" style="311" customWidth="1"/>
    <col min="44" max="49" width="11.7109375" style="327" customWidth="1"/>
    <col min="50" max="50" width="11.7109375" style="306" customWidth="1"/>
    <col min="51" max="51" width="15.42578125" style="328" customWidth="1"/>
    <col min="52" max="52" width="14.85546875" style="328" customWidth="1"/>
    <col min="53" max="53" width="14.140625" style="328" customWidth="1"/>
    <col min="54" max="54" width="15.28515625" style="329" customWidth="1"/>
    <col min="55" max="55" width="14.28515625" style="329" customWidth="1"/>
    <col min="56" max="56" width="15" style="330" customWidth="1"/>
    <col min="57" max="57" width="27.85546875" style="311" customWidth="1"/>
    <col min="58" max="58" width="20.28515625" style="331" customWidth="1"/>
    <col min="59" max="59" width="14.42578125" style="311" customWidth="1"/>
    <col min="60" max="60" width="21.28515625" style="311" customWidth="1"/>
    <col min="61" max="61" width="17" style="311" customWidth="1"/>
    <col min="62" max="62" width="20.85546875" style="311" customWidth="1"/>
    <col min="63" max="63" width="14.28515625" style="306" customWidth="1"/>
    <col min="64" max="64" width="12.5703125" style="332" customWidth="1"/>
    <col min="65" max="65" width="12.28515625" style="311" customWidth="1"/>
    <col min="66" max="66" width="14.42578125" style="315" customWidth="1"/>
    <col min="67" max="16384" width="11.42578125" style="311"/>
  </cols>
  <sheetData>
    <row r="1" spans="1:67" s="225" customFormat="1" ht="21" customHeight="1" x14ac:dyDescent="0.2">
      <c r="B1" s="634" t="s">
        <v>346</v>
      </c>
      <c r="C1" s="635"/>
      <c r="D1" s="635"/>
      <c r="E1" s="635"/>
      <c r="F1" s="635"/>
      <c r="G1" s="635"/>
      <c r="H1" s="635"/>
      <c r="I1" s="635"/>
      <c r="J1" s="635"/>
      <c r="K1" s="635"/>
      <c r="L1" s="635"/>
      <c r="M1" s="635"/>
      <c r="N1" s="226"/>
      <c r="O1" s="226"/>
      <c r="P1" s="226"/>
      <c r="Q1" s="227"/>
      <c r="R1" s="227"/>
      <c r="S1" s="663"/>
      <c r="T1" s="673"/>
      <c r="U1" s="673"/>
      <c r="V1" s="673"/>
      <c r="W1" s="673"/>
      <c r="X1" s="673"/>
      <c r="Y1" s="673"/>
      <c r="Z1" s="673"/>
      <c r="AA1" s="673"/>
      <c r="AB1" s="673"/>
      <c r="AC1" s="673"/>
      <c r="AD1" s="673"/>
      <c r="AE1" s="228"/>
      <c r="AF1" s="229"/>
      <c r="AG1" s="229"/>
      <c r="AH1" s="229"/>
      <c r="AI1" s="230"/>
      <c r="AJ1" s="231"/>
      <c r="AK1" s="232"/>
      <c r="AL1" s="233"/>
      <c r="AM1" s="233"/>
      <c r="AN1" s="233"/>
      <c r="AO1" s="234"/>
      <c r="AP1" s="235"/>
      <c r="AR1" s="233"/>
      <c r="AS1" s="233"/>
      <c r="AT1" s="233"/>
      <c r="AU1" s="233"/>
      <c r="AV1" s="233"/>
      <c r="AW1" s="233"/>
      <c r="BB1" s="236"/>
      <c r="BC1" s="236"/>
      <c r="BD1" s="237"/>
      <c r="BF1" s="238"/>
      <c r="BL1" s="239"/>
      <c r="BN1" s="240"/>
    </row>
    <row r="2" spans="1:67" s="225" customFormat="1" ht="21" customHeight="1" x14ac:dyDescent="0.2">
      <c r="B2" s="636" t="s">
        <v>347</v>
      </c>
      <c r="C2" s="636"/>
      <c r="D2" s="636"/>
      <c r="E2" s="636"/>
      <c r="F2" s="636"/>
      <c r="G2" s="636"/>
      <c r="H2" s="636"/>
      <c r="I2" s="636"/>
      <c r="J2" s="636"/>
      <c r="K2" s="636"/>
      <c r="L2" s="636"/>
      <c r="M2" s="636"/>
      <c r="N2" s="241"/>
      <c r="O2" s="241"/>
      <c r="P2" s="241"/>
      <c r="Q2" s="242"/>
      <c r="R2" s="242"/>
      <c r="S2" s="674"/>
      <c r="T2" s="674"/>
      <c r="U2" s="674"/>
      <c r="V2" s="674"/>
      <c r="W2" s="674"/>
      <c r="X2" s="674"/>
      <c r="Y2" s="674"/>
      <c r="Z2" s="674"/>
      <c r="AA2" s="674"/>
      <c r="AB2" s="674"/>
      <c r="AC2" s="674"/>
      <c r="AD2" s="674"/>
      <c r="AE2" s="228"/>
      <c r="AF2" s="229"/>
      <c r="AG2" s="229"/>
      <c r="AH2" s="229"/>
      <c r="AI2" s="230"/>
      <c r="AJ2" s="231"/>
      <c r="AK2" s="232"/>
      <c r="AL2" s="233"/>
      <c r="AM2" s="233"/>
      <c r="AN2" s="233"/>
      <c r="AO2" s="234"/>
      <c r="AP2" s="235"/>
      <c r="AR2" s="233"/>
      <c r="AS2" s="233"/>
      <c r="AT2" s="233"/>
      <c r="AU2" s="233"/>
      <c r="AV2" s="233"/>
      <c r="AW2" s="233"/>
      <c r="BB2" s="236"/>
      <c r="BC2" s="236"/>
      <c r="BD2" s="237"/>
      <c r="BF2" s="238"/>
      <c r="BL2" s="239"/>
      <c r="BN2" s="240"/>
    </row>
    <row r="3" spans="1:67" s="225" customFormat="1" ht="21" customHeight="1" x14ac:dyDescent="0.2">
      <c r="A3" s="391" t="s">
        <v>602</v>
      </c>
      <c r="B3" s="634" t="s">
        <v>473</v>
      </c>
      <c r="C3" s="635"/>
      <c r="D3" s="635"/>
      <c r="E3" s="635"/>
      <c r="F3" s="635"/>
      <c r="G3" s="635"/>
      <c r="H3" s="675"/>
      <c r="I3" s="333"/>
      <c r="J3" s="334"/>
      <c r="K3" s="334"/>
      <c r="L3" s="334"/>
      <c r="M3" s="335"/>
      <c r="N3" s="241"/>
      <c r="O3" s="241"/>
      <c r="P3" s="241"/>
      <c r="Q3" s="242"/>
      <c r="R3" s="242"/>
      <c r="S3" s="663"/>
      <c r="T3" s="673"/>
      <c r="U3" s="673"/>
      <c r="V3" s="673"/>
      <c r="W3" s="673"/>
      <c r="X3" s="673"/>
      <c r="Y3" s="673"/>
      <c r="Z3" s="673"/>
      <c r="AA3" s="673"/>
      <c r="AB3" s="673"/>
      <c r="AC3" s="673"/>
      <c r="AD3" s="673"/>
      <c r="AE3" s="228"/>
      <c r="AF3" s="229"/>
      <c r="AG3" s="229"/>
      <c r="AH3" s="229"/>
      <c r="AI3" s="230"/>
      <c r="AJ3" s="231"/>
      <c r="AK3" s="232"/>
      <c r="AL3" s="233"/>
      <c r="AM3" s="233"/>
      <c r="AN3" s="233"/>
      <c r="AO3" s="234"/>
      <c r="AP3" s="243"/>
      <c r="AR3" s="233"/>
      <c r="AS3" s="233"/>
      <c r="AT3" s="233"/>
      <c r="AU3" s="233"/>
      <c r="AV3" s="233"/>
      <c r="AW3" s="233"/>
      <c r="BB3" s="236"/>
      <c r="BC3" s="236"/>
      <c r="BD3" s="237"/>
      <c r="BF3" s="238"/>
      <c r="BL3" s="239"/>
      <c r="BN3" s="240"/>
    </row>
    <row r="4" spans="1:67" s="248" customFormat="1" ht="60" customHeight="1" x14ac:dyDescent="0.2">
      <c r="A4" s="669" t="s">
        <v>348</v>
      </c>
      <c r="B4" s="669" t="s">
        <v>349</v>
      </c>
      <c r="C4" s="669" t="s">
        <v>350</v>
      </c>
      <c r="D4" s="646" t="s">
        <v>351</v>
      </c>
      <c r="E4" s="646" t="s">
        <v>352</v>
      </c>
      <c r="F4" s="646" t="s">
        <v>353</v>
      </c>
      <c r="G4" s="646" t="s">
        <v>354</v>
      </c>
      <c r="H4" s="671" t="s">
        <v>355</v>
      </c>
      <c r="I4" s="247"/>
      <c r="J4" s="654" t="s">
        <v>356</v>
      </c>
      <c r="K4" s="655"/>
      <c r="L4" s="656"/>
      <c r="M4" s="657" t="s">
        <v>357</v>
      </c>
      <c r="N4" s="658"/>
      <c r="O4" s="658"/>
      <c r="P4" s="659"/>
      <c r="Q4" s="660" t="s">
        <v>358</v>
      </c>
      <c r="R4" s="661" t="s">
        <v>359</v>
      </c>
      <c r="S4" s="663" t="s">
        <v>360</v>
      </c>
      <c r="T4" s="663"/>
      <c r="U4" s="663"/>
      <c r="V4" s="637" t="s">
        <v>361</v>
      </c>
      <c r="W4" s="637"/>
      <c r="X4" s="637"/>
      <c r="Y4" s="637"/>
      <c r="Z4" s="637"/>
      <c r="AA4" s="637"/>
      <c r="AB4" s="647" t="s">
        <v>362</v>
      </c>
      <c r="AC4" s="647" t="s">
        <v>363</v>
      </c>
      <c r="AD4" s="665" t="s">
        <v>364</v>
      </c>
      <c r="AE4" s="667" t="s">
        <v>365</v>
      </c>
      <c r="AF4" s="646" t="s">
        <v>366</v>
      </c>
      <c r="AG4" s="652" t="s">
        <v>367</v>
      </c>
      <c r="AH4" s="639" t="s">
        <v>368</v>
      </c>
      <c r="AI4" s="639" t="s">
        <v>369</v>
      </c>
      <c r="AJ4" s="650" t="s">
        <v>370</v>
      </c>
      <c r="AK4" s="639" t="s">
        <v>371</v>
      </c>
      <c r="AL4" s="639" t="s">
        <v>372</v>
      </c>
      <c r="AM4" s="639"/>
      <c r="AN4" s="646"/>
      <c r="AO4" s="646" t="s">
        <v>373</v>
      </c>
      <c r="AP4" s="644" t="s">
        <v>374</v>
      </c>
      <c r="AQ4" s="637"/>
      <c r="AR4" s="645" t="s">
        <v>375</v>
      </c>
      <c r="AS4" s="645"/>
      <c r="AT4" s="645"/>
      <c r="AU4" s="645" t="s">
        <v>376</v>
      </c>
      <c r="AV4" s="645"/>
      <c r="AW4" s="645"/>
      <c r="AX4" s="645"/>
      <c r="AY4" s="646" t="s">
        <v>377</v>
      </c>
      <c r="AZ4" s="639" t="s">
        <v>378</v>
      </c>
      <c r="BA4" s="639"/>
      <c r="BB4" s="648" t="s">
        <v>379</v>
      </c>
      <c r="BC4" s="637" t="s">
        <v>380</v>
      </c>
      <c r="BD4" s="638"/>
      <c r="BE4" s="639" t="s">
        <v>381</v>
      </c>
      <c r="BF4" s="641" t="s">
        <v>382</v>
      </c>
      <c r="BG4" s="641"/>
      <c r="BH4" s="641"/>
      <c r="BI4" s="641"/>
      <c r="BJ4" s="642"/>
      <c r="BK4" s="637" t="s">
        <v>383</v>
      </c>
      <c r="BL4" s="637" t="s">
        <v>384</v>
      </c>
      <c r="BM4" s="637" t="s">
        <v>385</v>
      </c>
      <c r="BN4" s="632" t="s">
        <v>386</v>
      </c>
    </row>
    <row r="5" spans="1:67" s="248" customFormat="1" ht="60" x14ac:dyDescent="0.2">
      <c r="A5" s="670"/>
      <c r="B5" s="670"/>
      <c r="C5" s="670"/>
      <c r="D5" s="647"/>
      <c r="E5" s="647"/>
      <c r="F5" s="647"/>
      <c r="G5" s="647"/>
      <c r="H5" s="672"/>
      <c r="I5" s="249" t="s">
        <v>387</v>
      </c>
      <c r="J5" s="250" t="s">
        <v>388</v>
      </c>
      <c r="K5" s="251" t="s">
        <v>389</v>
      </c>
      <c r="L5" s="252" t="s">
        <v>390</v>
      </c>
      <c r="M5" s="252" t="s">
        <v>391</v>
      </c>
      <c r="N5" s="252" t="s">
        <v>392</v>
      </c>
      <c r="O5" s="252" t="s">
        <v>393</v>
      </c>
      <c r="P5" s="252" t="s">
        <v>394</v>
      </c>
      <c r="Q5" s="661"/>
      <c r="R5" s="662"/>
      <c r="S5" s="253" t="s">
        <v>395</v>
      </c>
      <c r="T5" s="254" t="s">
        <v>396</v>
      </c>
      <c r="U5" s="253" t="s">
        <v>397</v>
      </c>
      <c r="V5" s="244" t="s">
        <v>395</v>
      </c>
      <c r="W5" s="245" t="s">
        <v>396</v>
      </c>
      <c r="X5" s="246" t="s">
        <v>397</v>
      </c>
      <c r="Y5" s="255" t="s">
        <v>398</v>
      </c>
      <c r="Z5" s="255" t="s">
        <v>399</v>
      </c>
      <c r="AA5" s="255" t="s">
        <v>400</v>
      </c>
      <c r="AB5" s="664"/>
      <c r="AC5" s="664"/>
      <c r="AD5" s="666"/>
      <c r="AE5" s="668"/>
      <c r="AF5" s="647"/>
      <c r="AG5" s="653" t="s">
        <v>367</v>
      </c>
      <c r="AH5" s="640"/>
      <c r="AI5" s="640"/>
      <c r="AJ5" s="651"/>
      <c r="AK5" s="640"/>
      <c r="AL5" s="256" t="s">
        <v>401</v>
      </c>
      <c r="AM5" s="256" t="s">
        <v>402</v>
      </c>
      <c r="AN5" s="244" t="s">
        <v>403</v>
      </c>
      <c r="AO5" s="647"/>
      <c r="AP5" s="257" t="s">
        <v>396</v>
      </c>
      <c r="AQ5" s="257" t="s">
        <v>397</v>
      </c>
      <c r="AR5" s="253" t="s">
        <v>395</v>
      </c>
      <c r="AS5" s="253" t="s">
        <v>396</v>
      </c>
      <c r="AT5" s="253" t="s">
        <v>397</v>
      </c>
      <c r="AU5" s="253" t="s">
        <v>404</v>
      </c>
      <c r="AV5" s="253" t="s">
        <v>396</v>
      </c>
      <c r="AW5" s="253" t="s">
        <v>397</v>
      </c>
      <c r="AX5" s="258" t="s">
        <v>405</v>
      </c>
      <c r="AY5" s="647"/>
      <c r="AZ5" s="256" t="s">
        <v>406</v>
      </c>
      <c r="BA5" s="256" t="s">
        <v>407</v>
      </c>
      <c r="BB5" s="649"/>
      <c r="BC5" s="244" t="s">
        <v>390</v>
      </c>
      <c r="BD5" s="246" t="s">
        <v>388</v>
      </c>
      <c r="BE5" s="640"/>
      <c r="BF5" s="253" t="s">
        <v>408</v>
      </c>
      <c r="BG5" s="259" t="s">
        <v>409</v>
      </c>
      <c r="BH5" s="259" t="s">
        <v>410</v>
      </c>
      <c r="BI5" s="259" t="s">
        <v>411</v>
      </c>
      <c r="BJ5" s="259" t="s">
        <v>412</v>
      </c>
      <c r="BK5" s="643"/>
      <c r="BL5" s="643"/>
      <c r="BM5" s="643" t="s">
        <v>385</v>
      </c>
      <c r="BN5" s="633" t="s">
        <v>386</v>
      </c>
    </row>
    <row r="6" spans="1:67" s="287" customFormat="1" ht="137.25" hidden="1" customHeight="1" x14ac:dyDescent="0.2">
      <c r="A6" s="260" t="s">
        <v>413</v>
      </c>
      <c r="B6" s="261" t="s">
        <v>414</v>
      </c>
      <c r="C6" s="262" t="s">
        <v>415</v>
      </c>
      <c r="D6" s="179" t="s">
        <v>416</v>
      </c>
      <c r="E6" s="263" t="s">
        <v>27</v>
      </c>
      <c r="F6" s="264" t="s">
        <v>417</v>
      </c>
      <c r="G6" s="265" t="s">
        <v>418</v>
      </c>
      <c r="H6" s="266">
        <v>700000</v>
      </c>
      <c r="I6" s="265" t="s">
        <v>418</v>
      </c>
      <c r="J6" s="267">
        <v>900378239</v>
      </c>
      <c r="K6" s="268">
        <v>0</v>
      </c>
      <c r="L6" s="269" t="s">
        <v>419</v>
      </c>
      <c r="M6" s="270" t="s">
        <v>420</v>
      </c>
      <c r="N6" s="271" t="s">
        <v>421</v>
      </c>
      <c r="O6" s="272">
        <v>0</v>
      </c>
      <c r="P6" s="273" t="s">
        <v>422</v>
      </c>
      <c r="Q6" s="274" t="s">
        <v>423</v>
      </c>
      <c r="R6" s="268">
        <v>1</v>
      </c>
      <c r="S6" s="268">
        <v>6</v>
      </c>
      <c r="T6" s="275">
        <v>42382</v>
      </c>
      <c r="U6" s="276">
        <v>51190440</v>
      </c>
      <c r="V6" s="268">
        <v>7</v>
      </c>
      <c r="W6" s="275">
        <v>42387</v>
      </c>
      <c r="X6" s="266">
        <v>700000</v>
      </c>
      <c r="Y6" s="277">
        <v>3120101</v>
      </c>
      <c r="Z6" s="278" t="s">
        <v>225</v>
      </c>
      <c r="AA6" s="279" t="s">
        <v>424</v>
      </c>
      <c r="AB6" s="280" t="s">
        <v>425</v>
      </c>
      <c r="AC6" s="281" t="s">
        <v>426</v>
      </c>
      <c r="AD6" s="282">
        <v>42384</v>
      </c>
      <c r="AE6" s="155" t="s">
        <v>427</v>
      </c>
      <c r="AF6" s="155">
        <v>42394</v>
      </c>
      <c r="AG6" s="155">
        <v>42394</v>
      </c>
      <c r="AH6" s="156" t="s">
        <v>428</v>
      </c>
      <c r="AI6" s="156" t="s">
        <v>428</v>
      </c>
      <c r="AJ6" s="21" t="s">
        <v>428</v>
      </c>
      <c r="AK6" s="156" t="s">
        <v>428</v>
      </c>
      <c r="AL6" s="155"/>
      <c r="AM6" s="155"/>
      <c r="AN6" s="173"/>
      <c r="AO6" s="155"/>
      <c r="AP6" s="155"/>
      <c r="AQ6" s="155"/>
      <c r="AR6" s="155"/>
      <c r="AS6" s="155"/>
      <c r="AT6" s="155"/>
      <c r="AU6" s="155"/>
      <c r="AV6" s="155"/>
      <c r="AW6" s="155"/>
      <c r="AX6" s="155"/>
      <c r="AY6" s="155"/>
      <c r="AZ6" s="155"/>
      <c r="BA6" s="155"/>
      <c r="BB6" s="190" t="s">
        <v>429</v>
      </c>
      <c r="BC6" s="9" t="s">
        <v>430</v>
      </c>
      <c r="BD6" s="283" t="s">
        <v>431</v>
      </c>
      <c r="BE6" s="190" t="s">
        <v>90</v>
      </c>
      <c r="BF6" s="284"/>
      <c r="BG6" s="173"/>
      <c r="BH6" s="285"/>
      <c r="BI6" s="203"/>
      <c r="BJ6" s="155"/>
      <c r="BK6" s="17"/>
      <c r="BL6" s="286"/>
      <c r="BM6" s="179" t="s">
        <v>432</v>
      </c>
      <c r="BN6" s="181"/>
    </row>
    <row r="7" spans="1:67" s="297" customFormat="1" ht="107.25" hidden="1" customHeight="1" x14ac:dyDescent="0.2">
      <c r="A7" s="260" t="s">
        <v>413</v>
      </c>
      <c r="B7" s="262" t="s">
        <v>433</v>
      </c>
      <c r="C7" s="25" t="s">
        <v>434</v>
      </c>
      <c r="D7" s="263" t="s">
        <v>435</v>
      </c>
      <c r="E7" s="9" t="s">
        <v>81</v>
      </c>
      <c r="F7" s="9" t="s">
        <v>436</v>
      </c>
      <c r="G7" s="182" t="s">
        <v>437</v>
      </c>
      <c r="H7" s="288">
        <v>6000000</v>
      </c>
      <c r="I7" s="182" t="s">
        <v>438</v>
      </c>
      <c r="J7" s="289">
        <v>1015437290</v>
      </c>
      <c r="K7" s="290">
        <v>1</v>
      </c>
      <c r="L7" s="182" t="s">
        <v>439</v>
      </c>
      <c r="M7" s="17" t="s">
        <v>440</v>
      </c>
      <c r="N7" s="291" t="s">
        <v>441</v>
      </c>
      <c r="O7" s="281" t="s">
        <v>442</v>
      </c>
      <c r="P7" s="292" t="s">
        <v>443</v>
      </c>
      <c r="Q7" s="7" t="s">
        <v>444</v>
      </c>
      <c r="R7" s="290">
        <v>1</v>
      </c>
      <c r="S7" s="290">
        <v>14</v>
      </c>
      <c r="T7" s="293">
        <v>42388</v>
      </c>
      <c r="U7" s="294">
        <v>6000000</v>
      </c>
      <c r="V7" s="290">
        <v>14</v>
      </c>
      <c r="W7" s="293">
        <v>42024</v>
      </c>
      <c r="X7" s="288">
        <v>6000000</v>
      </c>
      <c r="Y7" s="295">
        <v>3110204</v>
      </c>
      <c r="Z7" s="278" t="s">
        <v>445</v>
      </c>
      <c r="AA7" s="173" t="s">
        <v>424</v>
      </c>
      <c r="AB7" s="160" t="s">
        <v>425</v>
      </c>
      <c r="AC7" s="281" t="s">
        <v>426</v>
      </c>
      <c r="AD7" s="282">
        <v>42389</v>
      </c>
      <c r="AE7" s="155" t="s">
        <v>446</v>
      </c>
      <c r="AF7" s="155">
        <v>42394</v>
      </c>
      <c r="AG7" s="156">
        <v>42394</v>
      </c>
      <c r="AH7" s="156" t="s">
        <v>424</v>
      </c>
      <c r="AI7" s="156">
        <v>42390</v>
      </c>
      <c r="AJ7" s="21">
        <v>120</v>
      </c>
      <c r="AK7" s="156">
        <v>42510</v>
      </c>
      <c r="AL7" s="155"/>
      <c r="AM7" s="155"/>
      <c r="AN7" s="173"/>
      <c r="AO7" s="155"/>
      <c r="AP7" s="155"/>
      <c r="AQ7" s="155"/>
      <c r="AR7" s="155"/>
      <c r="AS7" s="155"/>
      <c r="AT7" s="155"/>
      <c r="AU7" s="155"/>
      <c r="AV7" s="155"/>
      <c r="AW7" s="155"/>
      <c r="AX7" s="155"/>
      <c r="AY7" s="155"/>
      <c r="AZ7" s="155"/>
      <c r="BA7" s="155"/>
      <c r="BB7" s="9" t="s">
        <v>447</v>
      </c>
      <c r="BC7" s="160" t="s">
        <v>323</v>
      </c>
      <c r="BD7" s="169">
        <v>19259343</v>
      </c>
      <c r="BE7" s="296" t="s">
        <v>137</v>
      </c>
      <c r="BF7" s="284"/>
      <c r="BG7" s="173"/>
      <c r="BH7" s="285"/>
      <c r="BI7" s="203"/>
      <c r="BJ7" s="155"/>
      <c r="BK7" s="17"/>
      <c r="BL7" s="286"/>
      <c r="BM7" s="182" t="s">
        <v>448</v>
      </c>
      <c r="BN7" s="181"/>
    </row>
    <row r="8" spans="1:67" s="297" customFormat="1" ht="31.5" customHeight="1" x14ac:dyDescent="0.2">
      <c r="A8" s="260" t="s">
        <v>413</v>
      </c>
      <c r="B8" s="261" t="s">
        <v>449</v>
      </c>
      <c r="C8" s="25" t="s">
        <v>450</v>
      </c>
      <c r="D8" s="9" t="s">
        <v>451</v>
      </c>
      <c r="E8" s="9" t="s">
        <v>81</v>
      </c>
      <c r="F8" s="9" t="s">
        <v>436</v>
      </c>
      <c r="G8" s="182" t="s">
        <v>437</v>
      </c>
      <c r="H8" s="288">
        <v>24000000</v>
      </c>
      <c r="I8" s="182" t="s">
        <v>438</v>
      </c>
      <c r="J8" s="298">
        <v>19242360</v>
      </c>
      <c r="K8" s="290">
        <v>4</v>
      </c>
      <c r="L8" s="182" t="s">
        <v>452</v>
      </c>
      <c r="M8" s="17" t="s">
        <v>453</v>
      </c>
      <c r="N8" s="291" t="s">
        <v>454</v>
      </c>
      <c r="O8" s="281" t="s">
        <v>455</v>
      </c>
      <c r="P8" s="292" t="s">
        <v>443</v>
      </c>
      <c r="Q8" s="182" t="s">
        <v>456</v>
      </c>
      <c r="R8" s="290">
        <v>1</v>
      </c>
      <c r="S8" s="290">
        <v>21</v>
      </c>
      <c r="T8" s="293">
        <v>42389</v>
      </c>
      <c r="U8" s="294">
        <v>24000000</v>
      </c>
      <c r="V8" s="290">
        <v>15</v>
      </c>
      <c r="W8" s="293">
        <v>42390</v>
      </c>
      <c r="X8" s="288">
        <v>24000000</v>
      </c>
      <c r="Y8" s="203">
        <v>311020301</v>
      </c>
      <c r="Z8" s="405" t="s">
        <v>80</v>
      </c>
      <c r="AA8" s="173" t="s">
        <v>424</v>
      </c>
      <c r="AB8" s="160" t="s">
        <v>425</v>
      </c>
      <c r="AC8" s="281" t="s">
        <v>426</v>
      </c>
      <c r="AD8" s="282">
        <v>42390</v>
      </c>
      <c r="AE8" s="155" t="s">
        <v>457</v>
      </c>
      <c r="AF8" s="155">
        <v>42390</v>
      </c>
      <c r="AG8" s="156" t="s">
        <v>458</v>
      </c>
      <c r="AH8" s="156" t="s">
        <v>424</v>
      </c>
      <c r="AI8" s="156">
        <v>42391</v>
      </c>
      <c r="AJ8" s="21">
        <v>120</v>
      </c>
      <c r="AK8" s="156">
        <v>42511</v>
      </c>
      <c r="AL8" s="155"/>
      <c r="AM8" s="155"/>
      <c r="AN8" s="173"/>
      <c r="AO8" s="155"/>
      <c r="AP8" s="155"/>
      <c r="AQ8" s="155"/>
      <c r="AR8" s="155"/>
      <c r="AS8" s="155"/>
      <c r="AT8" s="155"/>
      <c r="AU8" s="155"/>
      <c r="AV8" s="155"/>
      <c r="AW8" s="155"/>
      <c r="AX8" s="155"/>
      <c r="AY8" s="155"/>
      <c r="AZ8" s="155"/>
      <c r="BA8" s="155"/>
      <c r="BB8" s="190" t="s">
        <v>459</v>
      </c>
      <c r="BC8" s="190" t="s">
        <v>460</v>
      </c>
      <c r="BD8" s="169">
        <v>80124255</v>
      </c>
      <c r="BE8" s="190" t="s">
        <v>461</v>
      </c>
      <c r="BF8" s="284"/>
      <c r="BG8" s="173"/>
      <c r="BH8" s="285"/>
      <c r="BI8" s="203"/>
      <c r="BJ8" s="155"/>
      <c r="BK8" s="17"/>
      <c r="BL8" s="286"/>
      <c r="BM8" s="299" t="s">
        <v>462</v>
      </c>
      <c r="BN8" s="300"/>
    </row>
    <row r="9" spans="1:67" s="287" customFormat="1" ht="114.75" hidden="1" x14ac:dyDescent="0.2">
      <c r="A9" s="260" t="s">
        <v>413</v>
      </c>
      <c r="B9" s="261" t="s">
        <v>463</v>
      </c>
      <c r="C9" s="301" t="s">
        <v>464</v>
      </c>
      <c r="D9" s="179" t="s">
        <v>465</v>
      </c>
      <c r="E9" s="9" t="s">
        <v>81</v>
      </c>
      <c r="F9" s="9" t="s">
        <v>436</v>
      </c>
      <c r="G9" s="182" t="s">
        <v>437</v>
      </c>
      <c r="H9" s="288">
        <v>7560000</v>
      </c>
      <c r="I9" s="182" t="s">
        <v>438</v>
      </c>
      <c r="J9" s="298">
        <v>79874768</v>
      </c>
      <c r="K9" s="290">
        <v>5</v>
      </c>
      <c r="L9" s="182" t="s">
        <v>466</v>
      </c>
      <c r="M9" s="173" t="s">
        <v>467</v>
      </c>
      <c r="N9" s="291" t="s">
        <v>468</v>
      </c>
      <c r="O9" s="281" t="s">
        <v>469</v>
      </c>
      <c r="P9" s="292" t="s">
        <v>443</v>
      </c>
      <c r="Q9" s="7" t="s">
        <v>470</v>
      </c>
      <c r="R9" s="290">
        <v>1</v>
      </c>
      <c r="S9" s="290">
        <v>13</v>
      </c>
      <c r="T9" s="293">
        <v>42023</v>
      </c>
      <c r="U9" s="288">
        <v>7560000</v>
      </c>
      <c r="V9" s="290">
        <v>16</v>
      </c>
      <c r="W9" s="293">
        <v>42391</v>
      </c>
      <c r="X9" s="288">
        <v>7560000</v>
      </c>
      <c r="Y9" s="302" t="s">
        <v>471</v>
      </c>
      <c r="Z9" s="278" t="s">
        <v>223</v>
      </c>
      <c r="AA9" s="303" t="s">
        <v>424</v>
      </c>
      <c r="AB9" s="160" t="s">
        <v>425</v>
      </c>
      <c r="AC9" s="281" t="s">
        <v>426</v>
      </c>
      <c r="AD9" s="282">
        <v>42391</v>
      </c>
      <c r="AE9" s="155" t="s">
        <v>472</v>
      </c>
      <c r="AF9" s="155">
        <v>42394</v>
      </c>
      <c r="AG9" s="156">
        <v>42394</v>
      </c>
      <c r="AH9" s="156" t="s">
        <v>428</v>
      </c>
      <c r="AI9" s="156">
        <v>42395</v>
      </c>
      <c r="AJ9" s="21">
        <v>120</v>
      </c>
      <c r="AK9" s="156">
        <v>42515</v>
      </c>
      <c r="AL9" s="155"/>
      <c r="AM9" s="155"/>
      <c r="AN9" s="173"/>
      <c r="AO9" s="155"/>
      <c r="AP9" s="155"/>
      <c r="AQ9" s="155"/>
      <c r="AR9" s="155"/>
      <c r="AS9" s="155"/>
      <c r="AT9" s="155"/>
      <c r="AU9" s="155"/>
      <c r="AV9" s="155"/>
      <c r="AW9" s="155"/>
      <c r="AX9" s="155"/>
      <c r="AY9" s="155"/>
      <c r="AZ9" s="155"/>
      <c r="BA9" s="155"/>
      <c r="BB9" s="9" t="s">
        <v>447</v>
      </c>
      <c r="BC9" s="160" t="s">
        <v>323</v>
      </c>
      <c r="BD9" s="169">
        <v>19259343</v>
      </c>
      <c r="BE9" s="296" t="s">
        <v>137</v>
      </c>
      <c r="BF9" s="284"/>
      <c r="BG9" s="173"/>
      <c r="BH9" s="285"/>
      <c r="BI9" s="203"/>
      <c r="BJ9" s="155"/>
      <c r="BK9" s="17"/>
      <c r="BL9" s="286"/>
      <c r="BM9" s="179" t="s">
        <v>432</v>
      </c>
      <c r="BN9" s="181"/>
    </row>
    <row r="10" spans="1:67" s="287" customFormat="1" ht="165.75" hidden="1" x14ac:dyDescent="0.2">
      <c r="A10" s="261" t="s">
        <v>534</v>
      </c>
      <c r="B10" s="261" t="s">
        <v>479</v>
      </c>
      <c r="C10" s="25" t="s">
        <v>480</v>
      </c>
      <c r="D10" s="9" t="s">
        <v>481</v>
      </c>
      <c r="E10" s="9" t="s">
        <v>103</v>
      </c>
      <c r="F10" s="179" t="s">
        <v>482</v>
      </c>
      <c r="G10" s="182" t="s">
        <v>437</v>
      </c>
      <c r="H10" s="26">
        <v>307605681</v>
      </c>
      <c r="I10" s="182" t="s">
        <v>438</v>
      </c>
      <c r="J10" s="295">
        <v>860050247</v>
      </c>
      <c r="K10" s="290">
        <v>6</v>
      </c>
      <c r="L10" s="182" t="s">
        <v>483</v>
      </c>
      <c r="M10" s="179" t="s">
        <v>484</v>
      </c>
      <c r="N10" s="304">
        <v>6730177</v>
      </c>
      <c r="O10" s="281">
        <v>0</v>
      </c>
      <c r="P10" s="281" t="s">
        <v>485</v>
      </c>
      <c r="Q10" s="157" t="s">
        <v>486</v>
      </c>
      <c r="R10" s="290">
        <v>1</v>
      </c>
      <c r="S10" s="290">
        <v>57</v>
      </c>
      <c r="T10" s="293">
        <v>42412</v>
      </c>
      <c r="U10" s="337">
        <v>307785788</v>
      </c>
      <c r="V10" s="290">
        <v>62</v>
      </c>
      <c r="W10" s="293">
        <v>42419</v>
      </c>
      <c r="X10" s="294">
        <v>307605681</v>
      </c>
      <c r="Y10" s="295">
        <v>312020501</v>
      </c>
      <c r="Z10" s="338" t="s">
        <v>153</v>
      </c>
      <c r="AA10" s="303" t="s">
        <v>290</v>
      </c>
      <c r="AB10" s="160" t="s">
        <v>425</v>
      </c>
      <c r="AC10" s="281" t="s">
        <v>426</v>
      </c>
      <c r="AD10" s="282">
        <v>42418</v>
      </c>
      <c r="AE10" s="339" t="s">
        <v>487</v>
      </c>
      <c r="AF10" s="155">
        <v>42422</v>
      </c>
      <c r="AG10" s="155">
        <v>42423</v>
      </c>
      <c r="AH10" s="155" t="s">
        <v>424</v>
      </c>
      <c r="AI10" s="155">
        <v>42461</v>
      </c>
      <c r="AJ10" s="21">
        <v>132</v>
      </c>
      <c r="AK10" s="155">
        <v>42563</v>
      </c>
      <c r="AL10" s="155"/>
      <c r="AM10" s="155"/>
      <c r="AN10" s="173"/>
      <c r="AO10" s="155"/>
      <c r="AP10" s="155"/>
      <c r="AQ10" s="155"/>
      <c r="AR10" s="155"/>
      <c r="AS10" s="155"/>
      <c r="AT10" s="155"/>
      <c r="AU10" s="155"/>
      <c r="AV10" s="155"/>
      <c r="AW10" s="155"/>
      <c r="AX10" s="155"/>
      <c r="AY10" s="155"/>
      <c r="AZ10" s="155"/>
      <c r="BA10" s="155"/>
      <c r="BB10" s="340" t="s">
        <v>488</v>
      </c>
      <c r="BC10" s="9" t="s">
        <v>489</v>
      </c>
      <c r="BD10" s="169">
        <v>19447276</v>
      </c>
      <c r="BE10" s="190" t="s">
        <v>145</v>
      </c>
      <c r="BF10" s="284"/>
      <c r="BG10" s="173"/>
      <c r="BH10" s="285"/>
      <c r="BI10" s="203"/>
      <c r="BJ10" s="155"/>
      <c r="BK10" s="17"/>
      <c r="BL10" s="286"/>
      <c r="BM10" s="341" t="s">
        <v>462</v>
      </c>
      <c r="BN10" s="181"/>
    </row>
    <row r="11" spans="1:67" s="287" customFormat="1" ht="114.75" hidden="1" x14ac:dyDescent="0.2">
      <c r="A11" s="261" t="s">
        <v>548</v>
      </c>
      <c r="B11" s="261" t="s">
        <v>549</v>
      </c>
      <c r="C11" s="358" t="s">
        <v>550</v>
      </c>
      <c r="D11" s="10" t="s">
        <v>551</v>
      </c>
      <c r="E11" s="9" t="s">
        <v>81</v>
      </c>
      <c r="F11" s="9" t="s">
        <v>436</v>
      </c>
      <c r="G11" s="359" t="s">
        <v>437</v>
      </c>
      <c r="H11" s="288">
        <v>4000000</v>
      </c>
      <c r="I11" s="182" t="s">
        <v>438</v>
      </c>
      <c r="J11" s="295">
        <v>33377345</v>
      </c>
      <c r="K11" s="360">
        <v>4</v>
      </c>
      <c r="L11" s="361" t="s">
        <v>552</v>
      </c>
      <c r="M11" s="362" t="s">
        <v>553</v>
      </c>
      <c r="N11" s="304" t="s">
        <v>554</v>
      </c>
      <c r="O11" s="343" t="s">
        <v>555</v>
      </c>
      <c r="P11" s="160" t="s">
        <v>556</v>
      </c>
      <c r="Q11" s="7" t="s">
        <v>529</v>
      </c>
      <c r="R11" s="290">
        <v>1</v>
      </c>
      <c r="S11" s="363"/>
      <c r="T11" s="364"/>
      <c r="U11" s="288"/>
      <c r="V11" s="262">
        <v>75</v>
      </c>
      <c r="W11" s="364">
        <v>42431</v>
      </c>
      <c r="X11" s="288">
        <v>4000000</v>
      </c>
      <c r="Y11" s="295" t="s">
        <v>98</v>
      </c>
      <c r="Z11" s="365" t="s">
        <v>212</v>
      </c>
      <c r="AA11" s="366">
        <v>776</v>
      </c>
      <c r="AB11" s="367" t="s">
        <v>557</v>
      </c>
      <c r="AC11" s="281" t="s">
        <v>426</v>
      </c>
      <c r="AD11" s="155">
        <v>42431</v>
      </c>
      <c r="AE11" s="365" t="s">
        <v>558</v>
      </c>
      <c r="AF11" s="156">
        <v>42439</v>
      </c>
      <c r="AG11" s="156">
        <v>42439</v>
      </c>
      <c r="AH11" s="155" t="s">
        <v>424</v>
      </c>
      <c r="AI11" s="158">
        <v>42432</v>
      </c>
      <c r="AJ11" s="21">
        <v>30</v>
      </c>
      <c r="AK11" s="158">
        <v>42462</v>
      </c>
      <c r="AL11" s="155"/>
      <c r="AM11" s="155"/>
      <c r="AN11" s="173"/>
      <c r="AO11" s="155"/>
      <c r="AP11" s="155"/>
      <c r="AQ11" s="368"/>
      <c r="AR11" s="369"/>
      <c r="AS11" s="155"/>
      <c r="AT11" s="370"/>
      <c r="AU11" s="155"/>
      <c r="AV11" s="369"/>
      <c r="AW11" s="338"/>
      <c r="AX11" s="370"/>
      <c r="AY11" s="371"/>
      <c r="AZ11" s="372"/>
      <c r="BA11" s="372"/>
      <c r="BB11" s="340" t="s">
        <v>488</v>
      </c>
      <c r="BC11" s="9" t="s">
        <v>489</v>
      </c>
      <c r="BD11" s="169">
        <v>19447276</v>
      </c>
      <c r="BE11" s="190" t="s">
        <v>145</v>
      </c>
      <c r="BF11" s="285"/>
      <c r="BG11" s="173"/>
      <c r="BH11" s="373"/>
      <c r="BI11" s="154"/>
      <c r="BJ11" s="374"/>
      <c r="BK11" s="17"/>
      <c r="BL11" s="286"/>
      <c r="BM11" s="179" t="s">
        <v>462</v>
      </c>
      <c r="BN11" s="181">
        <v>4000000.0000000005</v>
      </c>
    </row>
    <row r="12" spans="1:67" s="287" customFormat="1" ht="140.25" hidden="1" x14ac:dyDescent="0.2">
      <c r="A12" s="261" t="s">
        <v>548</v>
      </c>
      <c r="B12" s="261" t="s">
        <v>559</v>
      </c>
      <c r="C12" s="25" t="s">
        <v>560</v>
      </c>
      <c r="D12" s="9" t="s">
        <v>561</v>
      </c>
      <c r="E12" s="9" t="s">
        <v>81</v>
      </c>
      <c r="F12" s="9" t="s">
        <v>436</v>
      </c>
      <c r="G12" s="182" t="s">
        <v>437</v>
      </c>
      <c r="H12" s="288">
        <v>11160000</v>
      </c>
      <c r="I12" s="182" t="s">
        <v>438</v>
      </c>
      <c r="J12" s="295">
        <v>79741840</v>
      </c>
      <c r="K12" s="290">
        <v>7</v>
      </c>
      <c r="L12" s="182" t="s">
        <v>562</v>
      </c>
      <c r="M12" s="179" t="s">
        <v>563</v>
      </c>
      <c r="N12" s="304" t="s">
        <v>564</v>
      </c>
      <c r="O12" s="281" t="s">
        <v>565</v>
      </c>
      <c r="P12" s="281" t="s">
        <v>443</v>
      </c>
      <c r="Q12" s="7" t="s">
        <v>470</v>
      </c>
      <c r="R12" s="290">
        <v>1</v>
      </c>
      <c r="S12" s="290">
        <v>116</v>
      </c>
      <c r="T12" s="293">
        <v>42431</v>
      </c>
      <c r="U12" s="294">
        <v>11160000</v>
      </c>
      <c r="V12" s="290">
        <v>80</v>
      </c>
      <c r="W12" s="293">
        <v>42433</v>
      </c>
      <c r="X12" s="294">
        <v>11160000</v>
      </c>
      <c r="Y12" s="302" t="s">
        <v>471</v>
      </c>
      <c r="Z12" s="365" t="s">
        <v>223</v>
      </c>
      <c r="AA12" s="303" t="s">
        <v>424</v>
      </c>
      <c r="AB12" s="160" t="s">
        <v>425</v>
      </c>
      <c r="AC12" s="281" t="s">
        <v>426</v>
      </c>
      <c r="AD12" s="282">
        <v>42432</v>
      </c>
      <c r="AE12" s="339" t="s">
        <v>566</v>
      </c>
      <c r="AF12" s="155"/>
      <c r="AG12" s="155"/>
      <c r="AH12" s="375"/>
      <c r="AI12" s="375">
        <v>42118</v>
      </c>
      <c r="AJ12" s="21">
        <v>180</v>
      </c>
      <c r="AK12" s="156">
        <v>42300</v>
      </c>
      <c r="AL12" s="155"/>
      <c r="AM12" s="155"/>
      <c r="AN12" s="173"/>
      <c r="AO12" s="155"/>
      <c r="AP12" s="155"/>
      <c r="AQ12" s="155"/>
      <c r="AR12" s="155"/>
      <c r="AS12" s="155"/>
      <c r="AT12" s="155"/>
      <c r="AU12" s="155"/>
      <c r="AV12" s="155"/>
      <c r="AW12" s="155"/>
      <c r="AX12" s="155"/>
      <c r="AY12" s="155"/>
      <c r="AZ12" s="155"/>
      <c r="BA12" s="155"/>
      <c r="BB12" s="9" t="s">
        <v>447</v>
      </c>
      <c r="BC12" s="160" t="s">
        <v>323</v>
      </c>
      <c r="BD12" s="169">
        <v>19259343</v>
      </c>
      <c r="BE12" s="9" t="s">
        <v>447</v>
      </c>
      <c r="BF12" s="284"/>
      <c r="BG12" s="173"/>
      <c r="BH12" s="285"/>
      <c r="BI12" s="203"/>
      <c r="BJ12" s="155"/>
      <c r="BK12" s="17"/>
      <c r="BL12" s="286"/>
      <c r="BM12" s="179" t="s">
        <v>497</v>
      </c>
      <c r="BN12" s="181"/>
    </row>
    <row r="13" spans="1:67" s="297" customFormat="1" ht="181.5" hidden="1" customHeight="1" x14ac:dyDescent="0.2">
      <c r="A13" s="261" t="s">
        <v>548</v>
      </c>
      <c r="B13" s="262" t="s">
        <v>587</v>
      </c>
      <c r="C13" s="262" t="s">
        <v>588</v>
      </c>
      <c r="D13" s="9" t="s">
        <v>589</v>
      </c>
      <c r="E13" s="9" t="s">
        <v>590</v>
      </c>
      <c r="F13" s="359" t="s">
        <v>417</v>
      </c>
      <c r="G13" s="182" t="s">
        <v>591</v>
      </c>
      <c r="H13" s="288">
        <v>1931400</v>
      </c>
      <c r="I13" s="182" t="s">
        <v>591</v>
      </c>
      <c r="J13" s="153">
        <v>900917626</v>
      </c>
      <c r="K13" s="290">
        <v>1</v>
      </c>
      <c r="L13" s="182" t="s">
        <v>592</v>
      </c>
      <c r="M13" s="179" t="s">
        <v>593</v>
      </c>
      <c r="N13" s="192">
        <v>5712565899</v>
      </c>
      <c r="O13" s="281"/>
      <c r="P13" s="381" t="s">
        <v>594</v>
      </c>
      <c r="Q13" s="382" t="s">
        <v>595</v>
      </c>
      <c r="R13" s="290">
        <v>1</v>
      </c>
      <c r="S13" s="290">
        <v>123</v>
      </c>
      <c r="T13" s="383">
        <v>42436</v>
      </c>
      <c r="U13" s="294">
        <v>1931400</v>
      </c>
      <c r="V13" s="173">
        <v>81</v>
      </c>
      <c r="W13" s="155">
        <v>42436</v>
      </c>
      <c r="X13" s="294">
        <v>1931400</v>
      </c>
      <c r="Y13" s="295" t="s">
        <v>98</v>
      </c>
      <c r="Z13" s="365" t="s">
        <v>212</v>
      </c>
      <c r="AA13" s="366">
        <v>776</v>
      </c>
      <c r="AB13" s="367" t="s">
        <v>557</v>
      </c>
      <c r="AC13" s="281" t="s">
        <v>426</v>
      </c>
      <c r="AD13" s="155">
        <v>42436</v>
      </c>
      <c r="AE13" s="155" t="s">
        <v>596</v>
      </c>
      <c r="AF13" s="155" t="s">
        <v>458</v>
      </c>
      <c r="AG13" s="155" t="s">
        <v>458</v>
      </c>
      <c r="AH13" s="155" t="s">
        <v>424</v>
      </c>
      <c r="AI13" s="155">
        <v>42437</v>
      </c>
      <c r="AJ13" s="21">
        <v>30</v>
      </c>
      <c r="AK13" s="156">
        <v>42467</v>
      </c>
      <c r="AL13" s="155"/>
      <c r="AM13" s="155"/>
      <c r="AN13" s="173"/>
      <c r="AO13" s="155"/>
      <c r="AP13" s="155"/>
      <c r="AQ13" s="155"/>
      <c r="AR13" s="155"/>
      <c r="AS13" s="155"/>
      <c r="AT13" s="155"/>
      <c r="AU13" s="155"/>
      <c r="AV13" s="155"/>
      <c r="AW13" s="155"/>
      <c r="AX13" s="155"/>
      <c r="AY13" s="155"/>
      <c r="AZ13" s="155"/>
      <c r="BA13" s="155"/>
      <c r="BB13" s="190" t="s">
        <v>597</v>
      </c>
      <c r="BC13" s="160" t="s">
        <v>340</v>
      </c>
      <c r="BD13" s="169">
        <v>51950018</v>
      </c>
      <c r="BE13" s="296" t="s">
        <v>97</v>
      </c>
      <c r="BF13" s="284"/>
      <c r="BG13" s="173"/>
      <c r="BH13" s="285"/>
      <c r="BI13" s="203"/>
      <c r="BJ13" s="155"/>
      <c r="BK13" s="17"/>
      <c r="BL13" s="286"/>
      <c r="BM13" s="179" t="s">
        <v>497</v>
      </c>
      <c r="BN13" s="181"/>
      <c r="BO13" s="384"/>
    </row>
    <row r="14" spans="1:67" s="287" customFormat="1" ht="40.5" customHeight="1" x14ac:dyDescent="0.2">
      <c r="A14" s="435" t="s">
        <v>654</v>
      </c>
      <c r="B14" s="261" t="s">
        <v>655</v>
      </c>
      <c r="C14" s="436" t="s">
        <v>656</v>
      </c>
      <c r="D14" s="436" t="s">
        <v>657</v>
      </c>
      <c r="E14" s="9" t="s">
        <v>32</v>
      </c>
      <c r="F14" s="359" t="s">
        <v>658</v>
      </c>
      <c r="G14" s="182" t="s">
        <v>437</v>
      </c>
      <c r="H14" s="288">
        <v>2304656</v>
      </c>
      <c r="I14" s="182" t="s">
        <v>438</v>
      </c>
      <c r="J14" s="437">
        <v>860506842</v>
      </c>
      <c r="K14" s="290">
        <v>8</v>
      </c>
      <c r="L14" s="182" t="s">
        <v>659</v>
      </c>
      <c r="M14" s="179" t="s">
        <v>660</v>
      </c>
      <c r="N14" s="291">
        <v>6230317</v>
      </c>
      <c r="O14" s="281"/>
      <c r="P14" s="292" t="s">
        <v>485</v>
      </c>
      <c r="Q14" s="160" t="s">
        <v>661</v>
      </c>
      <c r="R14" s="290">
        <v>1</v>
      </c>
      <c r="S14" s="290">
        <v>153</v>
      </c>
      <c r="T14" s="293">
        <v>42461</v>
      </c>
      <c r="U14" s="288">
        <v>2304656</v>
      </c>
      <c r="V14" s="290">
        <v>128</v>
      </c>
      <c r="W14" s="438">
        <v>42464</v>
      </c>
      <c r="X14" s="288">
        <v>2304656</v>
      </c>
      <c r="Y14" s="295" t="s">
        <v>98</v>
      </c>
      <c r="Z14" s="365" t="s">
        <v>212</v>
      </c>
      <c r="AA14" s="303">
        <v>776</v>
      </c>
      <c r="AB14" s="367" t="s">
        <v>557</v>
      </c>
      <c r="AC14" s="281" t="s">
        <v>426</v>
      </c>
      <c r="AD14" s="282">
        <v>42461</v>
      </c>
      <c r="AE14" s="155" t="s">
        <v>662</v>
      </c>
      <c r="AF14" s="155"/>
      <c r="AG14" s="155"/>
      <c r="AH14" s="155"/>
      <c r="AI14" s="155">
        <v>42465</v>
      </c>
      <c r="AJ14" s="21">
        <v>120</v>
      </c>
      <c r="AK14" s="155">
        <v>42586</v>
      </c>
      <c r="AL14" s="155"/>
      <c r="AM14" s="155"/>
      <c r="AN14" s="173"/>
      <c r="AO14" s="155"/>
      <c r="AP14" s="155"/>
      <c r="AQ14" s="155"/>
      <c r="AR14" s="155"/>
      <c r="AS14" s="155"/>
      <c r="AT14" s="155"/>
      <c r="AU14" s="155"/>
      <c r="AV14" s="155"/>
      <c r="AW14" s="155"/>
      <c r="AX14" s="155"/>
      <c r="AY14" s="155"/>
      <c r="AZ14" s="155"/>
      <c r="BA14" s="155"/>
      <c r="BB14" s="215" t="s">
        <v>488</v>
      </c>
      <c r="BC14" s="182" t="s">
        <v>489</v>
      </c>
      <c r="BD14" s="299">
        <v>19447276</v>
      </c>
      <c r="BE14" s="215" t="s">
        <v>145</v>
      </c>
      <c r="BF14" s="285"/>
      <c r="BG14" s="173"/>
      <c r="BH14" s="439"/>
      <c r="BI14" s="173"/>
      <c r="BJ14" s="155"/>
      <c r="BK14" s="17"/>
      <c r="BL14" s="286"/>
      <c r="BM14" s="182" t="s">
        <v>663</v>
      </c>
      <c r="BN14" s="181"/>
    </row>
    <row r="15" spans="1:67" s="287" customFormat="1" ht="69" customHeight="1" x14ac:dyDescent="0.2">
      <c r="A15" s="435" t="s">
        <v>654</v>
      </c>
      <c r="B15" s="262" t="s">
        <v>587</v>
      </c>
      <c r="C15" s="25" t="s">
        <v>664</v>
      </c>
      <c r="D15" s="440" t="s">
        <v>665</v>
      </c>
      <c r="E15" s="9" t="s">
        <v>590</v>
      </c>
      <c r="F15" s="359" t="s">
        <v>417</v>
      </c>
      <c r="G15" s="182" t="s">
        <v>591</v>
      </c>
      <c r="H15" s="288">
        <v>1500000</v>
      </c>
      <c r="I15" s="182" t="s">
        <v>591</v>
      </c>
      <c r="J15" s="153">
        <v>900917626</v>
      </c>
      <c r="K15" s="290">
        <v>1</v>
      </c>
      <c r="L15" s="182" t="s">
        <v>592</v>
      </c>
      <c r="M15" s="179" t="s">
        <v>593</v>
      </c>
      <c r="N15" s="192">
        <v>5712565899</v>
      </c>
      <c r="O15" s="281"/>
      <c r="P15" s="381" t="s">
        <v>594</v>
      </c>
      <c r="Q15" s="382" t="s">
        <v>595</v>
      </c>
      <c r="R15" s="290">
        <v>1</v>
      </c>
      <c r="S15" s="290">
        <v>189</v>
      </c>
      <c r="T15" s="383">
        <v>42466</v>
      </c>
      <c r="U15" s="294">
        <v>1500000</v>
      </c>
      <c r="V15" s="173">
        <v>135</v>
      </c>
      <c r="W15" s="155">
        <v>42467</v>
      </c>
      <c r="X15" s="288">
        <v>1500000</v>
      </c>
      <c r="Y15" s="295" t="s">
        <v>98</v>
      </c>
      <c r="Z15" s="365" t="s">
        <v>212</v>
      </c>
      <c r="AA15" s="366">
        <v>776</v>
      </c>
      <c r="AB15" s="367" t="s">
        <v>557</v>
      </c>
      <c r="AC15" s="281" t="s">
        <v>426</v>
      </c>
      <c r="AD15" s="155">
        <v>42467</v>
      </c>
      <c r="AE15" s="155" t="s">
        <v>666</v>
      </c>
      <c r="AF15" s="155"/>
      <c r="AG15" s="155"/>
      <c r="AH15" s="155"/>
      <c r="AI15" s="441" t="s">
        <v>424</v>
      </c>
      <c r="AJ15" s="442" t="s">
        <v>424</v>
      </c>
      <c r="AK15" s="443" t="s">
        <v>424</v>
      </c>
      <c r="AL15" s="155"/>
      <c r="AM15" s="155"/>
      <c r="AN15" s="173"/>
      <c r="AO15" s="155"/>
      <c r="AP15" s="155"/>
      <c r="AQ15" s="155"/>
      <c r="AR15" s="155"/>
      <c r="AS15" s="155"/>
      <c r="AT15" s="155"/>
      <c r="AU15" s="155"/>
      <c r="AV15" s="155"/>
      <c r="AW15" s="155"/>
      <c r="AX15" s="155"/>
      <c r="AY15" s="155"/>
      <c r="AZ15" s="155"/>
      <c r="BA15" s="155"/>
      <c r="BB15" s="190" t="s">
        <v>597</v>
      </c>
      <c r="BC15" s="160" t="s">
        <v>340</v>
      </c>
      <c r="BD15" s="169">
        <v>51950018</v>
      </c>
      <c r="BE15" s="296" t="s">
        <v>97</v>
      </c>
      <c r="BF15" s="285"/>
      <c r="BG15" s="173"/>
      <c r="BH15" s="439"/>
      <c r="BI15" s="173"/>
      <c r="BJ15" s="155"/>
      <c r="BK15" s="17"/>
      <c r="BL15" s="286"/>
      <c r="BM15" s="182"/>
      <c r="BN15" s="181"/>
    </row>
    <row r="16" spans="1:67" s="287" customFormat="1" ht="43.5" customHeight="1" x14ac:dyDescent="0.2">
      <c r="A16" s="435" t="s">
        <v>654</v>
      </c>
      <c r="B16" s="444" t="s">
        <v>667</v>
      </c>
      <c r="C16" s="358" t="s">
        <v>668</v>
      </c>
      <c r="D16" s="358" t="s">
        <v>669</v>
      </c>
      <c r="E16" s="9" t="s">
        <v>670</v>
      </c>
      <c r="F16" s="9" t="s">
        <v>670</v>
      </c>
      <c r="G16" s="182" t="s">
        <v>437</v>
      </c>
      <c r="H16" s="26">
        <v>5000000</v>
      </c>
      <c r="I16" s="182" t="s">
        <v>438</v>
      </c>
      <c r="J16" s="445">
        <v>899999115</v>
      </c>
      <c r="K16" s="305">
        <v>8</v>
      </c>
      <c r="L16" s="446" t="s">
        <v>671</v>
      </c>
      <c r="M16" s="179" t="s">
        <v>672</v>
      </c>
      <c r="N16" s="304">
        <v>2422000</v>
      </c>
      <c r="O16" s="292">
        <v>0</v>
      </c>
      <c r="P16" s="343" t="s">
        <v>673</v>
      </c>
      <c r="Q16" s="182" t="s">
        <v>674</v>
      </c>
      <c r="R16" s="290">
        <v>1</v>
      </c>
      <c r="S16" s="262">
        <v>74</v>
      </c>
      <c r="T16" s="364">
        <v>42422</v>
      </c>
      <c r="U16" s="288">
        <v>5000000</v>
      </c>
      <c r="V16" s="262">
        <v>180</v>
      </c>
      <c r="W16" s="155">
        <v>42488</v>
      </c>
      <c r="X16" s="288">
        <v>5000000</v>
      </c>
      <c r="Y16" s="295" t="s">
        <v>98</v>
      </c>
      <c r="Z16" s="365" t="s">
        <v>212</v>
      </c>
      <c r="AA16" s="366">
        <v>776</v>
      </c>
      <c r="AB16" s="367" t="s">
        <v>557</v>
      </c>
      <c r="AC16" s="281" t="s">
        <v>426</v>
      </c>
      <c r="AD16" s="441" t="s">
        <v>458</v>
      </c>
      <c r="AE16" s="365" t="s">
        <v>675</v>
      </c>
      <c r="AF16" s="155" t="s">
        <v>676</v>
      </c>
      <c r="AG16" s="155"/>
      <c r="AH16" s="156"/>
      <c r="AI16" s="156" t="s">
        <v>424</v>
      </c>
      <c r="AJ16" s="21" t="s">
        <v>424</v>
      </c>
      <c r="AK16" s="156" t="s">
        <v>424</v>
      </c>
      <c r="AL16" s="155"/>
      <c r="AM16" s="155"/>
      <c r="AN16" s="173"/>
      <c r="AO16" s="155"/>
      <c r="AP16" s="155"/>
      <c r="AQ16" s="155"/>
      <c r="AR16" s="155"/>
      <c r="AS16" s="155"/>
      <c r="AT16" s="155"/>
      <c r="AU16" s="155"/>
      <c r="AV16" s="155"/>
      <c r="AW16" s="155"/>
      <c r="AX16" s="155"/>
      <c r="AY16" s="155"/>
      <c r="AZ16" s="155"/>
      <c r="BA16" s="155"/>
      <c r="BB16" s="190" t="s">
        <v>597</v>
      </c>
      <c r="BC16" s="160" t="s">
        <v>340</v>
      </c>
      <c r="BD16" s="169">
        <v>51950018</v>
      </c>
      <c r="BE16" s="296" t="s">
        <v>97</v>
      </c>
      <c r="BF16" s="285"/>
      <c r="BG16" s="173"/>
      <c r="BH16" s="439"/>
      <c r="BI16" s="173"/>
      <c r="BJ16" s="155"/>
      <c r="BK16" s="17"/>
      <c r="BL16" s="286"/>
      <c r="BM16" s="182"/>
      <c r="BN16" s="181"/>
    </row>
    <row r="17" spans="1:66" s="287" customFormat="1" ht="15" customHeight="1" x14ac:dyDescent="0.2">
      <c r="A17" s="435"/>
      <c r="B17" s="444"/>
      <c r="C17" s="358"/>
      <c r="D17" s="358"/>
      <c r="E17" s="9"/>
      <c r="F17" s="9"/>
      <c r="G17" s="447" t="s">
        <v>804</v>
      </c>
      <c r="H17" s="448">
        <f>SUM(H6:H16)</f>
        <v>371761737</v>
      </c>
      <c r="I17" s="182"/>
      <c r="J17" s="445"/>
      <c r="K17" s="305"/>
      <c r="L17" s="446"/>
      <c r="M17" s="179"/>
      <c r="N17" s="304"/>
      <c r="O17" s="292"/>
      <c r="P17" s="343"/>
      <c r="Q17" s="182"/>
      <c r="R17" s="290"/>
      <c r="S17" s="262"/>
      <c r="T17" s="364"/>
      <c r="U17" s="288"/>
      <c r="V17" s="262"/>
      <c r="W17" s="155"/>
      <c r="X17" s="288"/>
      <c r="Y17" s="295"/>
      <c r="Z17" s="365"/>
      <c r="AA17" s="366"/>
      <c r="AB17" s="367"/>
      <c r="AC17" s="281"/>
      <c r="AD17" s="441"/>
      <c r="AE17" s="365"/>
      <c r="AF17" s="155"/>
      <c r="AG17" s="155"/>
      <c r="AH17" s="156"/>
      <c r="AI17" s="156"/>
      <c r="AJ17" s="21"/>
      <c r="AK17" s="156"/>
      <c r="AL17" s="155"/>
      <c r="AM17" s="155"/>
      <c r="AN17" s="173"/>
      <c r="AO17" s="155"/>
      <c r="AP17" s="155"/>
      <c r="AQ17" s="155"/>
      <c r="AR17" s="155"/>
      <c r="AS17" s="155"/>
      <c r="AT17" s="155"/>
      <c r="AU17" s="155"/>
      <c r="AV17" s="155"/>
      <c r="AW17" s="155"/>
      <c r="AX17" s="155"/>
      <c r="AY17" s="155"/>
      <c r="AZ17" s="155"/>
      <c r="BA17" s="155"/>
      <c r="BB17" s="190"/>
      <c r="BC17" s="160"/>
      <c r="BD17" s="169"/>
      <c r="BE17" s="296"/>
      <c r="BF17" s="285"/>
      <c r="BG17" s="173"/>
      <c r="BH17" s="439"/>
      <c r="BI17" s="173"/>
      <c r="BJ17" s="155"/>
      <c r="BK17" s="17"/>
      <c r="BL17" s="286"/>
      <c r="BM17" s="182"/>
      <c r="BN17" s="181"/>
    </row>
    <row r="18" spans="1:66" ht="31.5" customHeight="1" x14ac:dyDescent="0.2">
      <c r="H18" s="306"/>
    </row>
    <row r="19" spans="1:66" ht="31.5" customHeight="1" x14ac:dyDescent="0.2"/>
    <row r="20" spans="1:66" ht="31.5" customHeight="1" x14ac:dyDescent="0.2"/>
    <row r="36" spans="13:13" x14ac:dyDescent="0.2">
      <c r="M36" s="312">
        <f>166293690+24000000</f>
        <v>190293690</v>
      </c>
    </row>
  </sheetData>
  <autoFilter ref="A5:BO17">
    <filterColumn colId="25">
      <filters>
        <filter val="Honorarios Entidad"/>
      </filters>
    </filterColumn>
  </autoFilter>
  <mergeCells count="45">
    <mergeCell ref="F4:F5"/>
    <mergeCell ref="G4:G5"/>
    <mergeCell ref="H4:H5"/>
    <mergeCell ref="S1:AD1"/>
    <mergeCell ref="S2:AD2"/>
    <mergeCell ref="B3:H3"/>
    <mergeCell ref="S3:AD3"/>
    <mergeCell ref="A4:A5"/>
    <mergeCell ref="B4:B5"/>
    <mergeCell ref="C4:C5"/>
    <mergeCell ref="D4:D5"/>
    <mergeCell ref="E4:E5"/>
    <mergeCell ref="AG4:AG5"/>
    <mergeCell ref="J4:L4"/>
    <mergeCell ref="M4:P4"/>
    <mergeCell ref="Q4:Q5"/>
    <mergeCell ref="R4:R5"/>
    <mergeCell ref="S4:U4"/>
    <mergeCell ref="V4:AA4"/>
    <mergeCell ref="AB4:AB5"/>
    <mergeCell ref="AC4:AC5"/>
    <mergeCell ref="AD4:AD5"/>
    <mergeCell ref="AE4:AE5"/>
    <mergeCell ref="AF4:AF5"/>
    <mergeCell ref="AI4:AI5"/>
    <mergeCell ref="AJ4:AJ5"/>
    <mergeCell ref="AK4:AK5"/>
    <mergeCell ref="AL4:AN4"/>
    <mergeCell ref="AO4:AO5"/>
    <mergeCell ref="BN4:BN5"/>
    <mergeCell ref="B1:M1"/>
    <mergeCell ref="B2:M2"/>
    <mergeCell ref="BC4:BD4"/>
    <mergeCell ref="BE4:BE5"/>
    <mergeCell ref="BF4:BJ4"/>
    <mergeCell ref="BK4:BK5"/>
    <mergeCell ref="BL4:BL5"/>
    <mergeCell ref="BM4:BM5"/>
    <mergeCell ref="AP4:AQ4"/>
    <mergeCell ref="AR4:AT4"/>
    <mergeCell ref="AU4:AX4"/>
    <mergeCell ref="AY4:AY5"/>
    <mergeCell ref="AZ4:BA4"/>
    <mergeCell ref="BB4:BB5"/>
    <mergeCell ref="AH4:AH5"/>
  </mergeCells>
  <dataValidations count="1">
    <dataValidation type="date" allowBlank="1" showInputMessage="1" showErrorMessage="1" sqref="AH12:AI12">
      <formula1>1</formula1>
      <formula2>402133</formula2>
    </dataValidation>
  </dataValidations>
  <hyperlinks>
    <hyperlink ref="O1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pane xSplit="1" ySplit="4" topLeftCell="B5" activePane="bottomRight" state="frozen"/>
      <selection pane="topRight" activeCell="B1" sqref="B1"/>
      <selection pane="bottomLeft" activeCell="A5" sqref="A5"/>
      <selection pane="bottomRight" activeCell="D5" sqref="D5"/>
    </sheetView>
  </sheetViews>
  <sheetFormatPr baseColWidth="10" defaultRowHeight="14.25" x14ac:dyDescent="0.2"/>
  <cols>
    <col min="1" max="1" width="21.140625" style="152" customWidth="1"/>
    <col min="2" max="2" width="50.140625" style="152" customWidth="1"/>
    <col min="3" max="3" width="16.140625" style="152" customWidth="1"/>
    <col min="4" max="4" width="14.85546875" customWidth="1"/>
    <col min="5" max="5" width="14.7109375" customWidth="1"/>
    <col min="6" max="6" width="15" customWidth="1"/>
    <col min="7" max="7" width="27" customWidth="1"/>
    <col min="9" max="9" width="25.7109375" customWidth="1"/>
  </cols>
  <sheetData>
    <row r="1" spans="1:7" ht="15" x14ac:dyDescent="0.25">
      <c r="A1" s="694" t="s">
        <v>321</v>
      </c>
      <c r="B1" s="695"/>
      <c r="C1" s="695"/>
      <c r="D1" s="695"/>
      <c r="E1" s="695"/>
      <c r="F1" s="695"/>
      <c r="G1" s="695"/>
    </row>
    <row r="2" spans="1:7" ht="15" x14ac:dyDescent="0.25">
      <c r="A2" s="132" t="s">
        <v>848</v>
      </c>
      <c r="B2" s="485"/>
      <c r="C2" s="485"/>
      <c r="D2" s="485"/>
      <c r="E2" s="485"/>
      <c r="F2" s="485"/>
      <c r="G2" s="485"/>
    </row>
    <row r="3" spans="1:7" ht="12.75" customHeight="1" x14ac:dyDescent="0.2">
      <c r="A3" s="689" t="s">
        <v>282</v>
      </c>
      <c r="B3" s="690"/>
      <c r="C3" s="690"/>
      <c r="D3" s="690"/>
      <c r="E3" s="690"/>
      <c r="F3" s="690"/>
      <c r="G3" s="690"/>
    </row>
    <row r="4" spans="1:7" ht="33.75" x14ac:dyDescent="0.2">
      <c r="A4" s="133" t="s">
        <v>283</v>
      </c>
      <c r="B4" s="133" t="s">
        <v>284</v>
      </c>
      <c r="C4" s="133" t="s">
        <v>285</v>
      </c>
      <c r="D4" s="133" t="s">
        <v>286</v>
      </c>
      <c r="E4" s="133" t="s">
        <v>287</v>
      </c>
      <c r="F4" s="133" t="s">
        <v>288</v>
      </c>
      <c r="G4" s="133" t="s">
        <v>289</v>
      </c>
    </row>
    <row r="5" spans="1:7" ht="96.75" customHeight="1" x14ac:dyDescent="0.2">
      <c r="A5" s="696" t="s">
        <v>714</v>
      </c>
      <c r="B5" s="190" t="s">
        <v>585</v>
      </c>
      <c r="C5" s="26">
        <v>221000000</v>
      </c>
      <c r="D5" s="26">
        <v>220024160</v>
      </c>
      <c r="E5" s="26">
        <f t="shared" ref="E5:E23" si="0">C5-D5</f>
        <v>975840</v>
      </c>
      <c r="F5" s="5">
        <v>42459</v>
      </c>
      <c r="G5" s="190" t="s">
        <v>811</v>
      </c>
    </row>
    <row r="6" spans="1:7" ht="102" customHeight="1" x14ac:dyDescent="0.2">
      <c r="A6" s="697"/>
      <c r="B6" s="10" t="s">
        <v>252</v>
      </c>
      <c r="C6" s="26">
        <v>429565801</v>
      </c>
      <c r="D6" s="26">
        <v>429565801</v>
      </c>
      <c r="E6" s="26">
        <f t="shared" si="0"/>
        <v>0</v>
      </c>
      <c r="F6" s="5">
        <v>42506</v>
      </c>
      <c r="G6" s="190" t="s">
        <v>810</v>
      </c>
    </row>
    <row r="7" spans="1:7" ht="51" x14ac:dyDescent="0.2">
      <c r="A7" s="697"/>
      <c r="B7" s="481" t="s">
        <v>648</v>
      </c>
      <c r="C7" s="26">
        <f>198000000-40800000-40800000-40800000-42000000</f>
        <v>33600000</v>
      </c>
      <c r="D7" s="26"/>
      <c r="E7" s="26">
        <f t="shared" si="0"/>
        <v>33600000</v>
      </c>
      <c r="F7" s="5">
        <v>42490</v>
      </c>
      <c r="G7" s="190" t="s">
        <v>721</v>
      </c>
    </row>
    <row r="8" spans="1:7" ht="89.25" x14ac:dyDescent="0.2">
      <c r="A8" s="697"/>
      <c r="B8" s="481" t="s">
        <v>716</v>
      </c>
      <c r="C8" s="26">
        <f>6800000*6</f>
        <v>40800000</v>
      </c>
      <c r="D8" s="26">
        <v>40800000</v>
      </c>
      <c r="E8" s="26">
        <f t="shared" si="0"/>
        <v>0</v>
      </c>
      <c r="F8" s="5">
        <v>42506</v>
      </c>
      <c r="G8" s="190" t="s">
        <v>821</v>
      </c>
    </row>
    <row r="9" spans="1:7" ht="89.25" x14ac:dyDescent="0.2">
      <c r="A9" s="697"/>
      <c r="B9" s="481" t="s">
        <v>719</v>
      </c>
      <c r="C9" s="26">
        <v>42000000</v>
      </c>
      <c r="D9" s="26">
        <v>42000000</v>
      </c>
      <c r="E9" s="26">
        <f t="shared" si="0"/>
        <v>0</v>
      </c>
      <c r="F9" s="5">
        <v>42506</v>
      </c>
      <c r="G9" s="190" t="s">
        <v>824</v>
      </c>
    </row>
    <row r="10" spans="1:7" ht="89.25" x14ac:dyDescent="0.2">
      <c r="A10" s="697"/>
      <c r="B10" s="481" t="s">
        <v>709</v>
      </c>
      <c r="C10" s="26">
        <f>6800000*6</f>
        <v>40800000</v>
      </c>
      <c r="D10" s="26">
        <v>40800000</v>
      </c>
      <c r="E10" s="26">
        <f t="shared" si="0"/>
        <v>0</v>
      </c>
      <c r="F10" s="5">
        <v>42501</v>
      </c>
      <c r="G10" s="190" t="s">
        <v>823</v>
      </c>
    </row>
    <row r="11" spans="1:7" ht="102" x14ac:dyDescent="0.2">
      <c r="A11" s="697"/>
      <c r="B11" s="481" t="s">
        <v>710</v>
      </c>
      <c r="C11" s="26">
        <f>6800000*6</f>
        <v>40800000</v>
      </c>
      <c r="D11" s="26">
        <v>40800000</v>
      </c>
      <c r="E11" s="26">
        <f t="shared" si="0"/>
        <v>0</v>
      </c>
      <c r="F11" s="5">
        <v>42501</v>
      </c>
      <c r="G11" s="190" t="s">
        <v>822</v>
      </c>
    </row>
    <row r="12" spans="1:7" ht="29.25" customHeight="1" x14ac:dyDescent="0.2">
      <c r="A12" s="697"/>
      <c r="B12" s="481" t="s">
        <v>276</v>
      </c>
      <c r="C12" s="26">
        <v>120000000</v>
      </c>
      <c r="D12" s="26"/>
      <c r="E12" s="26">
        <f t="shared" si="0"/>
        <v>120000000</v>
      </c>
      <c r="F12" s="5">
        <v>42505</v>
      </c>
      <c r="G12" s="190"/>
    </row>
    <row r="13" spans="1:7" ht="63.75" x14ac:dyDescent="0.2">
      <c r="A13" s="697"/>
      <c r="B13" s="481" t="s">
        <v>649</v>
      </c>
      <c r="C13" s="26">
        <v>30000000</v>
      </c>
      <c r="D13" s="10"/>
      <c r="E13" s="26">
        <f t="shared" si="0"/>
        <v>30000000</v>
      </c>
      <c r="F13" s="5">
        <v>42458</v>
      </c>
      <c r="G13" s="190" t="s">
        <v>690</v>
      </c>
    </row>
    <row r="14" spans="1:7" ht="117.75" customHeight="1" x14ac:dyDescent="0.2">
      <c r="A14" s="697"/>
      <c r="B14" s="481" t="s">
        <v>532</v>
      </c>
      <c r="C14" s="26">
        <v>29000000</v>
      </c>
      <c r="D14" s="10"/>
      <c r="E14" s="26">
        <f t="shared" si="0"/>
        <v>29000000</v>
      </c>
      <c r="F14" s="5">
        <v>42536</v>
      </c>
      <c r="G14" s="190"/>
    </row>
    <row r="15" spans="1:7" s="515" customFormat="1" ht="63.75" x14ac:dyDescent="0.2">
      <c r="A15" s="697"/>
      <c r="B15" s="481" t="s">
        <v>689</v>
      </c>
      <c r="C15" s="517">
        <v>5000000</v>
      </c>
      <c r="D15" s="518">
        <v>5000000</v>
      </c>
      <c r="E15" s="26">
        <f t="shared" si="0"/>
        <v>0</v>
      </c>
      <c r="F15" s="520">
        <v>42419</v>
      </c>
      <c r="G15" s="190" t="s">
        <v>701</v>
      </c>
    </row>
    <row r="16" spans="1:7" ht="38.25" x14ac:dyDescent="0.2">
      <c r="A16" s="697"/>
      <c r="B16" s="481" t="s">
        <v>253</v>
      </c>
      <c r="C16" s="517">
        <f>307434199+258000000</f>
        <v>565434199</v>
      </c>
      <c r="D16" s="517"/>
      <c r="E16" s="26">
        <f t="shared" si="0"/>
        <v>565434199</v>
      </c>
      <c r="F16" s="5">
        <v>42520</v>
      </c>
      <c r="G16" s="190"/>
    </row>
    <row r="17" spans="1:9" ht="25.5" x14ac:dyDescent="0.2">
      <c r="A17" s="697"/>
      <c r="B17" s="481" t="s">
        <v>254</v>
      </c>
      <c r="C17" s="517">
        <v>17368600</v>
      </c>
      <c r="D17" s="517"/>
      <c r="E17" s="26">
        <f t="shared" si="0"/>
        <v>17368600</v>
      </c>
      <c r="F17" s="5">
        <v>42587</v>
      </c>
      <c r="G17" s="190"/>
    </row>
    <row r="18" spans="1:9" s="515" customFormat="1" ht="178.5" x14ac:dyDescent="0.2">
      <c r="A18" s="697"/>
      <c r="B18" s="481" t="s">
        <v>618</v>
      </c>
      <c r="C18" s="519">
        <v>1931400</v>
      </c>
      <c r="D18" s="519">
        <v>1931400</v>
      </c>
      <c r="E18" s="26">
        <f t="shared" si="0"/>
        <v>0</v>
      </c>
      <c r="F18" s="520">
        <v>42436</v>
      </c>
      <c r="G18" s="190" t="s">
        <v>652</v>
      </c>
    </row>
    <row r="19" spans="1:9" s="515" customFormat="1" ht="171" customHeight="1" x14ac:dyDescent="0.2">
      <c r="A19" s="697"/>
      <c r="B19" s="481" t="s">
        <v>618</v>
      </c>
      <c r="C19" s="519">
        <v>1500000</v>
      </c>
      <c r="D19" s="519">
        <v>1500000</v>
      </c>
      <c r="E19" s="26">
        <f t="shared" si="0"/>
        <v>0</v>
      </c>
      <c r="F19" s="520">
        <v>42436</v>
      </c>
      <c r="G19" s="190" t="s">
        <v>700</v>
      </c>
    </row>
    <row r="20" spans="1:9" ht="25.5" x14ac:dyDescent="0.2">
      <c r="A20" s="697"/>
      <c r="B20" s="481" t="s">
        <v>800</v>
      </c>
      <c r="C20" s="454">
        <v>250000000</v>
      </c>
      <c r="D20" s="288"/>
      <c r="E20" s="26">
        <f t="shared" si="0"/>
        <v>250000000</v>
      </c>
      <c r="F20" s="512">
        <v>42581</v>
      </c>
      <c r="G20" s="190"/>
    </row>
    <row r="21" spans="1:9" ht="51" x14ac:dyDescent="0.2">
      <c r="A21" s="697"/>
      <c r="B21" s="481" t="s">
        <v>801</v>
      </c>
      <c r="C21" s="454">
        <f>4150000*10</f>
        <v>41500000</v>
      </c>
      <c r="D21" s="288"/>
      <c r="E21" s="26">
        <f t="shared" si="0"/>
        <v>41500000</v>
      </c>
      <c r="F21" s="512">
        <v>42536</v>
      </c>
      <c r="G21" s="190"/>
    </row>
    <row r="22" spans="1:9" ht="51" x14ac:dyDescent="0.2">
      <c r="A22" s="697"/>
      <c r="B22" s="481" t="s">
        <v>802</v>
      </c>
      <c r="C22" s="454">
        <f>7000000*6</f>
        <v>42000000</v>
      </c>
      <c r="D22" s="288"/>
      <c r="E22" s="26">
        <f t="shared" si="0"/>
        <v>42000000</v>
      </c>
      <c r="F22" s="512">
        <v>42551</v>
      </c>
      <c r="G22" s="190"/>
    </row>
    <row r="23" spans="1:9" ht="38.25" x14ac:dyDescent="0.2">
      <c r="A23" s="697"/>
      <c r="B23" s="481" t="s">
        <v>803</v>
      </c>
      <c r="C23" s="454">
        <v>315700000</v>
      </c>
      <c r="D23" s="288"/>
      <c r="E23" s="26">
        <f t="shared" si="0"/>
        <v>315700000</v>
      </c>
      <c r="F23" s="512">
        <v>42612</v>
      </c>
      <c r="G23" s="190"/>
    </row>
    <row r="24" spans="1:9" ht="21.75" customHeight="1" x14ac:dyDescent="0.2">
      <c r="A24" s="486"/>
      <c r="B24" s="476" t="s">
        <v>826</v>
      </c>
      <c r="C24" s="477">
        <f>SUM(C5:C23)</f>
        <v>2268000000</v>
      </c>
      <c r="D24" s="477">
        <f>SUM(D5:D23)</f>
        <v>822421361</v>
      </c>
      <c r="E24" s="478">
        <f>C24-D24</f>
        <v>1445578639</v>
      </c>
      <c r="F24" s="479"/>
      <c r="G24" s="480">
        <f>D24/C24</f>
        <v>0.36261964770723104</v>
      </c>
      <c r="I24" s="385"/>
    </row>
    <row r="25" spans="1:9" ht="33.75" x14ac:dyDescent="0.2">
      <c r="A25" s="133" t="s">
        <v>283</v>
      </c>
      <c r="B25" s="133" t="s">
        <v>284</v>
      </c>
      <c r="C25" s="133" t="s">
        <v>285</v>
      </c>
      <c r="D25" s="133" t="s">
        <v>286</v>
      </c>
      <c r="E25" s="133" t="s">
        <v>287</v>
      </c>
      <c r="F25" s="133" t="s">
        <v>288</v>
      </c>
      <c r="G25" s="133" t="s">
        <v>289</v>
      </c>
    </row>
    <row r="26" spans="1:9" s="140" customFormat="1" ht="102" x14ac:dyDescent="0.2">
      <c r="A26" s="696" t="s">
        <v>291</v>
      </c>
      <c r="B26" s="177" t="s">
        <v>827</v>
      </c>
      <c r="C26" s="169">
        <v>28000000</v>
      </c>
      <c r="D26" s="169">
        <v>0</v>
      </c>
      <c r="E26" s="194">
        <f>+C26-D26</f>
        <v>28000000</v>
      </c>
      <c r="F26" s="420">
        <v>42359</v>
      </c>
      <c r="G26" s="223" t="s">
        <v>617</v>
      </c>
    </row>
    <row r="27" spans="1:9" s="140" customFormat="1" ht="102" x14ac:dyDescent="0.2">
      <c r="A27" s="697"/>
      <c r="B27" s="177" t="s">
        <v>828</v>
      </c>
      <c r="C27" s="169">
        <v>312000000</v>
      </c>
      <c r="D27" s="169">
        <v>0</v>
      </c>
      <c r="E27" s="194">
        <f t="shared" ref="E27:E32" si="1">+C27-D27</f>
        <v>312000000</v>
      </c>
      <c r="F27" s="420">
        <v>42521</v>
      </c>
      <c r="G27" s="128"/>
    </row>
    <row r="28" spans="1:9" s="140" customFormat="1" ht="78.75" customHeight="1" x14ac:dyDescent="0.2">
      <c r="A28" s="697"/>
      <c r="B28" s="177" t="s">
        <v>829</v>
      </c>
      <c r="C28" s="169">
        <v>100000000</v>
      </c>
      <c r="D28" s="169">
        <v>0</v>
      </c>
      <c r="E28" s="194">
        <f t="shared" si="1"/>
        <v>100000000</v>
      </c>
      <c r="F28" s="420">
        <v>42479</v>
      </c>
      <c r="G28" s="128"/>
    </row>
    <row r="29" spans="1:9" s="140" customFormat="1" ht="59.25" customHeight="1" x14ac:dyDescent="0.2">
      <c r="A29" s="697"/>
      <c r="B29" s="177" t="s">
        <v>830</v>
      </c>
      <c r="C29" s="169">
        <v>43000000</v>
      </c>
      <c r="D29" s="169">
        <v>0</v>
      </c>
      <c r="E29" s="194">
        <f t="shared" si="1"/>
        <v>43000000</v>
      </c>
      <c r="F29" s="420">
        <v>42527</v>
      </c>
      <c r="G29" s="128"/>
    </row>
    <row r="30" spans="1:9" s="140" customFormat="1" ht="89.25" x14ac:dyDescent="0.2">
      <c r="A30" s="697"/>
      <c r="B30" s="177" t="s">
        <v>831</v>
      </c>
      <c r="C30" s="169">
        <v>2712000000</v>
      </c>
      <c r="D30" s="169">
        <v>0</v>
      </c>
      <c r="E30" s="194">
        <f t="shared" si="1"/>
        <v>2712000000</v>
      </c>
      <c r="F30" s="420">
        <v>42510</v>
      </c>
      <c r="G30" s="179" t="s">
        <v>739</v>
      </c>
    </row>
    <row r="31" spans="1:9" s="140" customFormat="1" ht="63.75" x14ac:dyDescent="0.2">
      <c r="A31" s="697"/>
      <c r="B31" s="177" t="s">
        <v>832</v>
      </c>
      <c r="C31" s="169">
        <v>31000000</v>
      </c>
      <c r="D31" s="169">
        <v>0</v>
      </c>
      <c r="E31" s="194">
        <f t="shared" si="1"/>
        <v>31000000</v>
      </c>
      <c r="F31" s="420">
        <v>42473</v>
      </c>
      <c r="G31" s="179" t="s">
        <v>653</v>
      </c>
    </row>
    <row r="32" spans="1:9" s="140" customFormat="1" ht="63.75" x14ac:dyDescent="0.2">
      <c r="A32" s="697"/>
      <c r="B32" s="177" t="s">
        <v>833</v>
      </c>
      <c r="C32" s="169">
        <v>300000000</v>
      </c>
      <c r="D32" s="169">
        <v>0</v>
      </c>
      <c r="E32" s="194">
        <f t="shared" si="1"/>
        <v>300000000</v>
      </c>
      <c r="F32" s="420">
        <v>42563</v>
      </c>
      <c r="G32" s="128"/>
    </row>
    <row r="33" spans="1:9" ht="12.75" x14ac:dyDescent="0.2">
      <c r="A33" s="486"/>
      <c r="B33" s="135" t="s">
        <v>742</v>
      </c>
      <c r="C33" s="136">
        <f>SUM(C26:C32)</f>
        <v>3526000000</v>
      </c>
      <c r="D33" s="136">
        <f t="shared" ref="D33:E33" si="2">SUM(D26:D32)</f>
        <v>0</v>
      </c>
      <c r="E33" s="136">
        <f t="shared" si="2"/>
        <v>3526000000</v>
      </c>
      <c r="F33" s="136"/>
      <c r="G33" s="196">
        <f>D33/C33</f>
        <v>0</v>
      </c>
      <c r="I33" s="385"/>
    </row>
    <row r="34" spans="1:9" ht="36" x14ac:dyDescent="0.2">
      <c r="A34" s="133" t="s">
        <v>283</v>
      </c>
      <c r="B34" s="141" t="s">
        <v>284</v>
      </c>
      <c r="C34" s="141" t="s">
        <v>285</v>
      </c>
      <c r="D34" s="141" t="s">
        <v>292</v>
      </c>
      <c r="E34" s="141" t="s">
        <v>287</v>
      </c>
      <c r="F34" s="141" t="s">
        <v>288</v>
      </c>
      <c r="G34" s="141" t="s">
        <v>289</v>
      </c>
    </row>
    <row r="35" spans="1:9" ht="47.25" customHeight="1" x14ac:dyDescent="0.2">
      <c r="A35" s="696" t="s">
        <v>293</v>
      </c>
      <c r="B35" s="167" t="s">
        <v>745</v>
      </c>
      <c r="C35" s="493">
        <v>5200000</v>
      </c>
      <c r="D35" s="128"/>
      <c r="E35" s="345">
        <f>+C35-D35</f>
        <v>5200000</v>
      </c>
      <c r="F35" s="429">
        <v>42625</v>
      </c>
      <c r="G35" s="128"/>
    </row>
    <row r="36" spans="1:9" ht="36.75" customHeight="1" x14ac:dyDescent="0.2">
      <c r="A36" s="697"/>
      <c r="B36" s="167" t="s">
        <v>747</v>
      </c>
      <c r="C36" s="493">
        <v>1000000</v>
      </c>
      <c r="D36" s="128"/>
      <c r="E36" s="345">
        <f t="shared" ref="E36:E46" si="3">+C36-D36</f>
        <v>1000000</v>
      </c>
      <c r="F36" s="429">
        <v>42516</v>
      </c>
      <c r="G36" s="128"/>
    </row>
    <row r="37" spans="1:9" ht="42" customHeight="1" x14ac:dyDescent="0.2">
      <c r="A37" s="697"/>
      <c r="B37" s="167" t="s">
        <v>748</v>
      </c>
      <c r="C37" s="493">
        <v>5800000</v>
      </c>
      <c r="D37" s="128"/>
      <c r="E37" s="345">
        <f t="shared" si="3"/>
        <v>5800000</v>
      </c>
      <c r="F37" s="499">
        <v>42517</v>
      </c>
      <c r="G37" s="128"/>
    </row>
    <row r="38" spans="1:9" ht="63.75" x14ac:dyDescent="0.2">
      <c r="A38" s="697"/>
      <c r="B38" s="167" t="s">
        <v>779</v>
      </c>
      <c r="C38" s="493">
        <v>22000000</v>
      </c>
      <c r="D38" s="128"/>
      <c r="E38" s="345">
        <f t="shared" si="3"/>
        <v>22000000</v>
      </c>
      <c r="F38" s="496">
        <v>42661</v>
      </c>
      <c r="G38" s="128"/>
    </row>
    <row r="39" spans="1:9" ht="63.75" x14ac:dyDescent="0.2">
      <c r="A39" s="697"/>
      <c r="B39" s="167" t="s">
        <v>746</v>
      </c>
      <c r="C39" s="493">
        <v>5495344</v>
      </c>
      <c r="D39" s="522"/>
      <c r="E39" s="345">
        <f t="shared" si="3"/>
        <v>5495344</v>
      </c>
      <c r="F39" s="429">
        <v>42517</v>
      </c>
      <c r="G39" s="128"/>
    </row>
    <row r="40" spans="1:9" ht="39.75" customHeight="1" x14ac:dyDescent="0.2">
      <c r="A40" s="697"/>
      <c r="B40" s="167" t="s">
        <v>317</v>
      </c>
      <c r="C40" s="493">
        <v>14000000</v>
      </c>
      <c r="D40" s="522"/>
      <c r="E40" s="345">
        <f t="shared" si="3"/>
        <v>14000000</v>
      </c>
      <c r="F40" s="429">
        <v>42489</v>
      </c>
      <c r="G40" s="128"/>
    </row>
    <row r="41" spans="1:9" s="515" customFormat="1" ht="97.5" customHeight="1" x14ac:dyDescent="0.2">
      <c r="A41" s="697"/>
      <c r="B41" s="481" t="s">
        <v>572</v>
      </c>
      <c r="C41" s="492">
        <f>576164*4</f>
        <v>2304656</v>
      </c>
      <c r="D41" s="492">
        <f>576164*4</f>
        <v>2304656</v>
      </c>
      <c r="E41" s="345">
        <f t="shared" si="3"/>
        <v>0</v>
      </c>
      <c r="F41" s="524">
        <v>42459</v>
      </c>
      <c r="G41" s="527" t="s">
        <v>688</v>
      </c>
    </row>
    <row r="42" spans="1:9" s="515" customFormat="1" ht="51" x14ac:dyDescent="0.2">
      <c r="A42" s="697"/>
      <c r="B42" s="10" t="s">
        <v>318</v>
      </c>
      <c r="C42" s="492">
        <v>7000000</v>
      </c>
      <c r="D42" s="523"/>
      <c r="E42" s="345">
        <f t="shared" si="3"/>
        <v>7000000</v>
      </c>
      <c r="F42" s="524">
        <v>42585</v>
      </c>
      <c r="G42" s="128"/>
    </row>
    <row r="43" spans="1:9" s="515" customFormat="1" ht="76.5" x14ac:dyDescent="0.2">
      <c r="A43" s="697"/>
      <c r="B43" s="167" t="s">
        <v>651</v>
      </c>
      <c r="C43" s="491">
        <v>3000000</v>
      </c>
      <c r="D43" s="491">
        <v>3000000</v>
      </c>
      <c r="E43" s="345">
        <f t="shared" si="3"/>
        <v>0</v>
      </c>
      <c r="F43" s="524">
        <v>42052</v>
      </c>
      <c r="G43" s="9" t="s">
        <v>679</v>
      </c>
    </row>
    <row r="44" spans="1:9" s="515" customFormat="1" ht="89.25" x14ac:dyDescent="0.2">
      <c r="A44" s="697"/>
      <c r="B44" s="167" t="s">
        <v>319</v>
      </c>
      <c r="C44" s="493">
        <v>4200000</v>
      </c>
      <c r="D44" s="522"/>
      <c r="E44" s="345">
        <f t="shared" si="3"/>
        <v>4200000</v>
      </c>
      <c r="F44" s="525">
        <v>42592</v>
      </c>
      <c r="G44" s="128"/>
    </row>
    <row r="45" spans="1:9" s="515" customFormat="1" ht="51" x14ac:dyDescent="0.2">
      <c r="A45" s="697"/>
      <c r="B45" s="19" t="s">
        <v>320</v>
      </c>
      <c r="C45" s="491">
        <v>3000000</v>
      </c>
      <c r="D45" s="522"/>
      <c r="E45" s="345">
        <f t="shared" si="3"/>
        <v>3000000</v>
      </c>
      <c r="F45" s="524">
        <v>42653</v>
      </c>
      <c r="G45" s="128"/>
    </row>
    <row r="46" spans="1:9" s="515" customFormat="1" ht="114.75" x14ac:dyDescent="0.2">
      <c r="A46" s="697"/>
      <c r="B46" s="521" t="s">
        <v>535</v>
      </c>
      <c r="C46" s="518">
        <v>4000000</v>
      </c>
      <c r="D46" s="518">
        <v>4000000</v>
      </c>
      <c r="E46" s="345">
        <f t="shared" si="3"/>
        <v>0</v>
      </c>
      <c r="F46" s="526">
        <v>42065</v>
      </c>
      <c r="G46" s="527" t="s">
        <v>547</v>
      </c>
    </row>
    <row r="47" spans="1:9" ht="12.75" x14ac:dyDescent="0.2">
      <c r="A47" s="486"/>
      <c r="B47" s="135" t="s">
        <v>743</v>
      </c>
      <c r="C47" s="137">
        <f>SUM(C35:C46)</f>
        <v>77000000</v>
      </c>
      <c r="D47" s="137">
        <f>SUM(D35:D46)</f>
        <v>9304656</v>
      </c>
      <c r="E47" s="138">
        <f>SUM(E35:E46)</f>
        <v>67695344</v>
      </c>
      <c r="F47" s="137"/>
      <c r="G47" s="139">
        <f>D47/C47</f>
        <v>0.12083968831168831</v>
      </c>
    </row>
    <row r="48" spans="1:9" ht="36" x14ac:dyDescent="0.2">
      <c r="A48" s="133" t="s">
        <v>283</v>
      </c>
      <c r="B48" s="141" t="s">
        <v>284</v>
      </c>
      <c r="C48" s="141" t="s">
        <v>285</v>
      </c>
      <c r="D48" s="141" t="s">
        <v>292</v>
      </c>
      <c r="E48" s="141" t="s">
        <v>287</v>
      </c>
      <c r="F48" s="141" t="s">
        <v>288</v>
      </c>
      <c r="G48" s="141" t="s">
        <v>289</v>
      </c>
    </row>
    <row r="49" spans="1:7" ht="80.25" customHeight="1" x14ac:dyDescent="0.2">
      <c r="A49" s="488" t="s">
        <v>294</v>
      </c>
      <c r="B49" s="346" t="s">
        <v>834</v>
      </c>
      <c r="C49" s="347">
        <v>450000000</v>
      </c>
      <c r="D49" s="348"/>
      <c r="E49" s="516">
        <f>C49-D49</f>
        <v>450000000</v>
      </c>
      <c r="F49" s="27">
        <v>42597</v>
      </c>
      <c r="G49" s="347"/>
    </row>
    <row r="50" spans="1:7" ht="12.75" x14ac:dyDescent="0.2">
      <c r="A50" s="484"/>
      <c r="B50" s="135" t="s">
        <v>744</v>
      </c>
      <c r="C50" s="136">
        <f>SUM(C49)</f>
        <v>450000000</v>
      </c>
      <c r="D50" s="136">
        <f>SUM(D49)</f>
        <v>0</v>
      </c>
      <c r="E50" s="138">
        <f>C50-D50</f>
        <v>450000000</v>
      </c>
      <c r="F50" s="138"/>
      <c r="G50" s="465">
        <f>D50/C50</f>
        <v>0</v>
      </c>
    </row>
    <row r="51" spans="1:7" ht="36" x14ac:dyDescent="0.2">
      <c r="A51" s="133" t="s">
        <v>283</v>
      </c>
      <c r="B51" s="141" t="s">
        <v>284</v>
      </c>
      <c r="C51" s="141" t="s">
        <v>285</v>
      </c>
      <c r="D51" s="141" t="s">
        <v>292</v>
      </c>
      <c r="E51" s="141" t="s">
        <v>287</v>
      </c>
      <c r="F51" s="141" t="s">
        <v>288</v>
      </c>
      <c r="G51" s="141" t="s">
        <v>289</v>
      </c>
    </row>
    <row r="52" spans="1:7" ht="171" customHeight="1" x14ac:dyDescent="0.2">
      <c r="A52" s="680" t="s">
        <v>295</v>
      </c>
      <c r="B52" s="186" t="s">
        <v>512</v>
      </c>
      <c r="C52" s="169">
        <v>42000000</v>
      </c>
      <c r="D52" s="169">
        <v>42000000</v>
      </c>
      <c r="E52" s="134">
        <f>+C52-D52</f>
        <v>0</v>
      </c>
      <c r="F52" s="420">
        <v>42408</v>
      </c>
      <c r="G52" s="9" t="s">
        <v>531</v>
      </c>
    </row>
    <row r="53" spans="1:7" ht="78" customHeight="1" x14ac:dyDescent="0.2">
      <c r="A53" s="681"/>
      <c r="B53" s="186" t="s">
        <v>530</v>
      </c>
      <c r="C53" s="169">
        <v>22400000</v>
      </c>
      <c r="D53" s="169">
        <v>22400000</v>
      </c>
      <c r="E53" s="134">
        <f t="shared" ref="E53:E63" si="4">+C53-D53</f>
        <v>0</v>
      </c>
      <c r="F53" s="420">
        <v>42408</v>
      </c>
      <c r="G53" s="9" t="s">
        <v>677</v>
      </c>
    </row>
    <row r="54" spans="1:7" ht="114.75" x14ac:dyDescent="0.2">
      <c r="A54" s="681"/>
      <c r="B54" s="9" t="s">
        <v>504</v>
      </c>
      <c r="C54" s="169">
        <v>12600000</v>
      </c>
      <c r="D54" s="169">
        <v>12600000</v>
      </c>
      <c r="E54" s="134">
        <f t="shared" si="4"/>
        <v>0</v>
      </c>
      <c r="F54" s="420">
        <v>42408</v>
      </c>
      <c r="G54" s="9" t="s">
        <v>505</v>
      </c>
    </row>
    <row r="55" spans="1:7" ht="114.75" x14ac:dyDescent="0.2">
      <c r="A55" s="681"/>
      <c r="B55" s="9" t="s">
        <v>514</v>
      </c>
      <c r="C55" s="169">
        <v>12600000</v>
      </c>
      <c r="D55" s="169">
        <v>12600000</v>
      </c>
      <c r="E55" s="134">
        <f t="shared" si="4"/>
        <v>0</v>
      </c>
      <c r="F55" s="420">
        <v>42408</v>
      </c>
      <c r="G55" s="9" t="s">
        <v>513</v>
      </c>
    </row>
    <row r="56" spans="1:7" ht="114.75" x14ac:dyDescent="0.2">
      <c r="A56" s="681"/>
      <c r="B56" s="9" t="s">
        <v>514</v>
      </c>
      <c r="C56" s="169">
        <v>12600000</v>
      </c>
      <c r="D56" s="169">
        <v>12600000</v>
      </c>
      <c r="E56" s="134">
        <f t="shared" si="4"/>
        <v>0</v>
      </c>
      <c r="F56" s="420">
        <v>42408</v>
      </c>
      <c r="G56" s="9" t="s">
        <v>526</v>
      </c>
    </row>
    <row r="57" spans="1:7" ht="114.75" x14ac:dyDescent="0.2">
      <c r="A57" s="681"/>
      <c r="B57" s="9" t="s">
        <v>514</v>
      </c>
      <c r="C57" s="169">
        <v>12600000</v>
      </c>
      <c r="D57" s="169">
        <v>12600000</v>
      </c>
      <c r="E57" s="134">
        <f t="shared" si="4"/>
        <v>0</v>
      </c>
      <c r="F57" s="420">
        <v>42408</v>
      </c>
      <c r="G57" s="9" t="s">
        <v>527</v>
      </c>
    </row>
    <row r="58" spans="1:7" ht="114.75" x14ac:dyDescent="0.2">
      <c r="A58" s="681"/>
      <c r="B58" s="9" t="s">
        <v>514</v>
      </c>
      <c r="C58" s="169">
        <v>12600000</v>
      </c>
      <c r="D58" s="169">
        <v>12600000</v>
      </c>
      <c r="E58" s="134">
        <f t="shared" si="4"/>
        <v>0</v>
      </c>
      <c r="F58" s="420">
        <v>42408</v>
      </c>
      <c r="G58" s="9" t="s">
        <v>623</v>
      </c>
    </row>
    <row r="59" spans="1:7" ht="111.75" customHeight="1" x14ac:dyDescent="0.2">
      <c r="A59" s="681"/>
      <c r="B59" s="9" t="s">
        <v>504</v>
      </c>
      <c r="C59" s="169">
        <v>10500000</v>
      </c>
      <c r="D59" s="169">
        <v>10500000</v>
      </c>
      <c r="E59" s="134">
        <f t="shared" si="4"/>
        <v>0</v>
      </c>
      <c r="F59" s="420">
        <v>42408</v>
      </c>
      <c r="G59" s="9" t="s">
        <v>568</v>
      </c>
    </row>
    <row r="60" spans="1:7" ht="114.75" x14ac:dyDescent="0.2">
      <c r="A60" s="681"/>
      <c r="B60" s="9" t="s">
        <v>504</v>
      </c>
      <c r="C60" s="169">
        <v>10500000</v>
      </c>
      <c r="D60" s="169">
        <v>10500000</v>
      </c>
      <c r="E60" s="134">
        <f t="shared" si="4"/>
        <v>0</v>
      </c>
      <c r="F60" s="420">
        <v>42408</v>
      </c>
      <c r="G60" s="9" t="s">
        <v>502</v>
      </c>
    </row>
    <row r="61" spans="1:7" ht="38.25" x14ac:dyDescent="0.2">
      <c r="A61" s="681"/>
      <c r="B61" s="9" t="s">
        <v>260</v>
      </c>
      <c r="C61" s="169">
        <v>43418300</v>
      </c>
      <c r="D61" s="169"/>
      <c r="E61" s="134">
        <f t="shared" si="4"/>
        <v>43418300</v>
      </c>
      <c r="F61" s="420">
        <v>42509</v>
      </c>
      <c r="G61" s="187"/>
    </row>
    <row r="62" spans="1:7" ht="165.75" x14ac:dyDescent="0.2">
      <c r="A62" s="681"/>
      <c r="B62" s="9" t="s">
        <v>650</v>
      </c>
      <c r="C62" s="169">
        <v>36000000</v>
      </c>
      <c r="D62" s="169">
        <v>36000000</v>
      </c>
      <c r="E62" s="134">
        <f t="shared" si="4"/>
        <v>0</v>
      </c>
      <c r="F62" s="420">
        <v>42471</v>
      </c>
      <c r="G62" s="9" t="s">
        <v>687</v>
      </c>
    </row>
    <row r="63" spans="1:7" ht="38.25" x14ac:dyDescent="0.2">
      <c r="A63" s="681"/>
      <c r="B63" s="9" t="s">
        <v>583</v>
      </c>
      <c r="C63" s="169">
        <v>72181700</v>
      </c>
      <c r="D63" s="169"/>
      <c r="E63" s="134">
        <f t="shared" si="4"/>
        <v>72181700</v>
      </c>
      <c r="F63" s="420">
        <v>42540</v>
      </c>
      <c r="G63" s="187"/>
    </row>
    <row r="64" spans="1:7" ht="12.75" x14ac:dyDescent="0.2">
      <c r="A64" s="142"/>
      <c r="B64" s="135" t="s">
        <v>741</v>
      </c>
      <c r="C64" s="137">
        <f>SUM(C52:C63)</f>
        <v>300000000</v>
      </c>
      <c r="D64" s="137">
        <f t="shared" ref="D64:E64" si="5">SUM(D52:D63)</f>
        <v>184400000</v>
      </c>
      <c r="E64" s="137">
        <f t="shared" si="5"/>
        <v>115600000</v>
      </c>
      <c r="F64" s="138"/>
      <c r="G64" s="139">
        <f>D64/C64</f>
        <v>0.61466666666666669</v>
      </c>
    </row>
    <row r="65" spans="1:9" ht="51" customHeight="1" x14ac:dyDescent="0.2">
      <c r="A65" s="691" t="s">
        <v>722</v>
      </c>
      <c r="B65" s="9" t="s">
        <v>807</v>
      </c>
      <c r="C65" s="169">
        <f>300000000-C66-C67</f>
        <v>204000000</v>
      </c>
      <c r="D65" s="169"/>
      <c r="E65" s="134">
        <f t="shared" ref="E65:E69" si="6">C65-D65</f>
        <v>204000000</v>
      </c>
      <c r="F65" s="420">
        <v>42521</v>
      </c>
      <c r="G65" s="187"/>
    </row>
    <row r="66" spans="1:9" ht="178.5" x14ac:dyDescent="0.2">
      <c r="A66" s="692"/>
      <c r="B66" s="9" t="s">
        <v>730</v>
      </c>
      <c r="C66" s="169">
        <v>48000000</v>
      </c>
      <c r="D66" s="169">
        <v>48000000</v>
      </c>
      <c r="E66" s="134">
        <f t="shared" si="6"/>
        <v>0</v>
      </c>
      <c r="F66" s="420">
        <v>42506</v>
      </c>
      <c r="G66" s="10" t="s">
        <v>819</v>
      </c>
    </row>
    <row r="67" spans="1:9" ht="178.5" x14ac:dyDescent="0.2">
      <c r="A67" s="692"/>
      <c r="B67" s="9" t="s">
        <v>730</v>
      </c>
      <c r="C67" s="169">
        <v>48000000</v>
      </c>
      <c r="D67" s="169">
        <v>48000000</v>
      </c>
      <c r="E67" s="134">
        <f t="shared" si="6"/>
        <v>0</v>
      </c>
      <c r="F67" s="420">
        <v>42506</v>
      </c>
      <c r="G67" s="10" t="s">
        <v>820</v>
      </c>
    </row>
    <row r="68" spans="1:9" s="528" customFormat="1" ht="12.75" x14ac:dyDescent="0.2">
      <c r="A68" s="693"/>
      <c r="B68" s="529" t="s">
        <v>808</v>
      </c>
      <c r="C68" s="530">
        <f>SUM(C65:C67)</f>
        <v>300000000</v>
      </c>
      <c r="D68" s="530">
        <f>SUM(D65:D67)</f>
        <v>96000000</v>
      </c>
      <c r="E68" s="531">
        <f t="shared" si="6"/>
        <v>204000000</v>
      </c>
      <c r="F68" s="531"/>
      <c r="G68" s="532">
        <f>D68/C68</f>
        <v>0.32</v>
      </c>
    </row>
    <row r="69" spans="1:9" ht="22.5" customHeight="1" x14ac:dyDescent="0.2">
      <c r="A69" s="506"/>
      <c r="B69" s="143" t="s">
        <v>809</v>
      </c>
      <c r="C69" s="144">
        <f>C24+C33+C47+C50+C64+C68</f>
        <v>6921000000</v>
      </c>
      <c r="D69" s="144">
        <f>D24+D33+D47+D50+D64+D68</f>
        <v>1112126017</v>
      </c>
      <c r="E69" s="144">
        <f t="shared" si="6"/>
        <v>5808873983</v>
      </c>
      <c r="F69" s="145"/>
      <c r="G69" s="388">
        <f>D69/C69</f>
        <v>0.16068863126715793</v>
      </c>
    </row>
    <row r="70" spans="1:9" ht="12.75" customHeight="1" x14ac:dyDescent="0.2">
      <c r="A70" s="689" t="s">
        <v>296</v>
      </c>
      <c r="B70" s="690"/>
      <c r="C70" s="690"/>
      <c r="D70" s="690"/>
      <c r="E70" s="690"/>
      <c r="F70" s="690"/>
      <c r="G70" s="690"/>
    </row>
    <row r="71" spans="1:9" ht="36" x14ac:dyDescent="0.2">
      <c r="A71" s="133" t="s">
        <v>283</v>
      </c>
      <c r="B71" s="141" t="s">
        <v>284</v>
      </c>
      <c r="C71" s="141" t="s">
        <v>297</v>
      </c>
      <c r="D71" s="141" t="s">
        <v>286</v>
      </c>
      <c r="E71" s="141" t="s">
        <v>287</v>
      </c>
      <c r="F71" s="141" t="s">
        <v>288</v>
      </c>
      <c r="G71" s="141" t="s">
        <v>289</v>
      </c>
    </row>
    <row r="72" spans="1:9" ht="39.75" customHeight="1" x14ac:dyDescent="0.2">
      <c r="A72" s="506" t="s">
        <v>298</v>
      </c>
      <c r="B72" s="682" t="s">
        <v>538</v>
      </c>
      <c r="C72" s="684">
        <v>860000000</v>
      </c>
      <c r="D72" s="685"/>
      <c r="E72" s="686">
        <f>C72-D72</f>
        <v>860000000</v>
      </c>
      <c r="F72" s="676">
        <v>42508</v>
      </c>
      <c r="G72" s="679" t="s">
        <v>724</v>
      </c>
    </row>
    <row r="73" spans="1:9" ht="39.75" customHeight="1" x14ac:dyDescent="0.2">
      <c r="A73" s="506" t="s">
        <v>299</v>
      </c>
      <c r="B73" s="683"/>
      <c r="C73" s="684"/>
      <c r="D73" s="685"/>
      <c r="E73" s="687"/>
      <c r="F73" s="677"/>
      <c r="G73" s="679"/>
    </row>
    <row r="74" spans="1:9" ht="100.5" customHeight="1" x14ac:dyDescent="0.2">
      <c r="A74" s="506" t="s">
        <v>300</v>
      </c>
      <c r="B74" s="683"/>
      <c r="C74" s="684"/>
      <c r="D74" s="685"/>
      <c r="E74" s="688"/>
      <c r="F74" s="678"/>
      <c r="G74" s="679"/>
    </row>
    <row r="75" spans="1:9" ht="12.75" x14ac:dyDescent="0.2">
      <c r="A75" s="135"/>
      <c r="B75" s="135" t="s">
        <v>725</v>
      </c>
      <c r="C75" s="137">
        <f>SUM(C72)</f>
        <v>860000000</v>
      </c>
      <c r="D75" s="137">
        <f>SUM(D72)</f>
        <v>0</v>
      </c>
      <c r="E75" s="137">
        <f t="shared" ref="E75:E82" si="7">C75-D75</f>
        <v>860000000</v>
      </c>
      <c r="F75" s="138"/>
      <c r="G75" s="196">
        <f>D75/C75</f>
        <v>0</v>
      </c>
    </row>
    <row r="76" spans="1:9" ht="150.75" customHeight="1" x14ac:dyDescent="0.2">
      <c r="A76" s="506" t="s">
        <v>301</v>
      </c>
      <c r="B76" s="9" t="s">
        <v>734</v>
      </c>
      <c r="C76" s="169">
        <v>150000000</v>
      </c>
      <c r="D76" s="483"/>
      <c r="E76" s="147">
        <f t="shared" si="7"/>
        <v>150000000</v>
      </c>
      <c r="F76" s="5">
        <v>42418</v>
      </c>
      <c r="G76" s="9" t="s">
        <v>835</v>
      </c>
    </row>
    <row r="77" spans="1:9" ht="120.75" customHeight="1" x14ac:dyDescent="0.2">
      <c r="A77" s="506"/>
      <c r="B77" s="9" t="s">
        <v>735</v>
      </c>
      <c r="C77" s="169">
        <v>100000000</v>
      </c>
      <c r="D77" s="507"/>
      <c r="E77" s="147">
        <f t="shared" si="7"/>
        <v>100000000</v>
      </c>
      <c r="F77" s="5">
        <v>42566</v>
      </c>
      <c r="G77" s="9" t="s">
        <v>815</v>
      </c>
    </row>
    <row r="78" spans="1:9" ht="12.75" x14ac:dyDescent="0.2">
      <c r="A78" s="142"/>
      <c r="B78" s="135" t="s">
        <v>703</v>
      </c>
      <c r="C78" s="137">
        <f>SUM(C76:C77)</f>
        <v>250000000</v>
      </c>
      <c r="D78" s="137">
        <f>SUM(D76:D77)</f>
        <v>0</v>
      </c>
      <c r="E78" s="137">
        <f t="shared" si="7"/>
        <v>250000000</v>
      </c>
      <c r="F78" s="138"/>
      <c r="G78" s="196">
        <f>D78/C78</f>
        <v>0</v>
      </c>
    </row>
    <row r="79" spans="1:9" ht="237.75" customHeight="1" x14ac:dyDescent="0.2">
      <c r="A79" s="146" t="s">
        <v>536</v>
      </c>
      <c r="B79" s="10" t="s">
        <v>537</v>
      </c>
      <c r="C79" s="169">
        <v>80000000</v>
      </c>
      <c r="D79" s="483"/>
      <c r="E79" s="147">
        <f t="shared" si="7"/>
        <v>80000000</v>
      </c>
      <c r="F79" s="5">
        <v>42500</v>
      </c>
      <c r="G79" s="431" t="s">
        <v>620</v>
      </c>
      <c r="I79" s="487"/>
    </row>
    <row r="80" spans="1:9" ht="12.75" x14ac:dyDescent="0.2">
      <c r="A80" s="142"/>
      <c r="B80" s="135" t="s">
        <v>825</v>
      </c>
      <c r="C80" s="137">
        <f>SUM(C79)</f>
        <v>80000000</v>
      </c>
      <c r="D80" s="137">
        <f>SUM(D79)</f>
        <v>0</v>
      </c>
      <c r="E80" s="137">
        <f t="shared" si="7"/>
        <v>80000000</v>
      </c>
      <c r="F80" s="138"/>
      <c r="G80" s="196">
        <f t="shared" ref="G80:G82" si="8">D80/C80</f>
        <v>0</v>
      </c>
    </row>
    <row r="81" spans="1:10" ht="18" customHeight="1" x14ac:dyDescent="0.2">
      <c r="A81" s="143"/>
      <c r="B81" s="143" t="s">
        <v>812</v>
      </c>
      <c r="C81" s="148">
        <f>C75+C78+C80</f>
        <v>1190000000</v>
      </c>
      <c r="D81" s="148">
        <f>SUM(D72:D79)</f>
        <v>0</v>
      </c>
      <c r="E81" s="148">
        <f t="shared" si="7"/>
        <v>1190000000</v>
      </c>
      <c r="F81" s="148"/>
      <c r="G81" s="149">
        <f t="shared" si="8"/>
        <v>0</v>
      </c>
    </row>
    <row r="82" spans="1:10" ht="27.75" customHeight="1" x14ac:dyDescent="0.2">
      <c r="A82" s="150"/>
      <c r="B82" s="150" t="s">
        <v>817</v>
      </c>
      <c r="C82" s="151">
        <f>C69+C81</f>
        <v>8111000000</v>
      </c>
      <c r="D82" s="151">
        <f>D69+D81</f>
        <v>1112126017</v>
      </c>
      <c r="E82" s="151">
        <f t="shared" si="7"/>
        <v>6998873983</v>
      </c>
      <c r="F82" s="151"/>
      <c r="G82" s="387">
        <f t="shared" si="8"/>
        <v>0.13711330501787697</v>
      </c>
      <c r="J82" s="385"/>
    </row>
    <row r="83" spans="1:10" x14ac:dyDescent="0.2">
      <c r="D83" s="103"/>
      <c r="E83" s="32"/>
    </row>
    <row r="85" spans="1:10" x14ac:dyDescent="0.2">
      <c r="D85" s="124"/>
    </row>
  </sheetData>
  <sheetProtection algorithmName="SHA-512" hashValue="Mpmc6kjqaJtLqFd7fDht4lvWsVvWAArO6jXAXtEwr41P0zTXGWyE1gZA9YnEHDQCEQwwC6GMHJbFx94PDAP9rw==" saltValue="3aoSHjPj2QCGUZknd6zMjw==" spinCount="100000" sheet="1" objects="1" scenarios="1" formatCells="0" formatColumns="0" formatRows="0" insertColumns="0" insertRows="0" insertHyperlinks="0" deleteColumns="0" deleteRows="0" sort="0" autoFilter="0" pivotTables="0"/>
  <mergeCells count="14">
    <mergeCell ref="A1:G1"/>
    <mergeCell ref="A3:G3"/>
    <mergeCell ref="A5:A23"/>
    <mergeCell ref="A26:A32"/>
    <mergeCell ref="A35:A46"/>
    <mergeCell ref="F72:F74"/>
    <mergeCell ref="G72:G74"/>
    <mergeCell ref="A52:A63"/>
    <mergeCell ref="B72:B74"/>
    <mergeCell ref="C72:C74"/>
    <mergeCell ref="D72:D74"/>
    <mergeCell ref="E72:E74"/>
    <mergeCell ref="A70:G70"/>
    <mergeCell ref="A65:A68"/>
  </mergeCells>
  <pageMargins left="0.70866141732283472" right="0.70866141732283472" top="0.55118110236220474" bottom="0.74803149606299213" header="0.31496062992125984" footer="0.31496062992125984"/>
  <pageSetup scale="7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CUADRO PAA 2016</vt:lpstr>
      <vt:lpstr>PLAN DE ADQUISICIONES 2016</vt:lpstr>
      <vt:lpstr>ADICIONES A CONTRATOS</vt:lpstr>
      <vt:lpstr>INVERSIÓN </vt:lpstr>
      <vt:lpstr>'INVERSIÓN '!Área_de_impresión</vt:lpstr>
      <vt:lpstr>'PLAN DE ADQUISICIONES 2016'!Área_de_impresión</vt:lpstr>
      <vt:lpstr>'INVERSIÓN '!Títulos_a_imprimir</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ANDRES MAURICIO RAMIREZ RAMOS</cp:lastModifiedBy>
  <cp:revision/>
  <cp:lastPrinted>2016-06-03T20:21:16Z</cp:lastPrinted>
  <dcterms:created xsi:type="dcterms:W3CDTF">2012-05-03T16:02:33Z</dcterms:created>
  <dcterms:modified xsi:type="dcterms:W3CDTF">2016-07-15T16:56:16Z</dcterms:modified>
</cp:coreProperties>
</file>